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8 Agosto\"/>
    </mc:Choice>
  </mc:AlternateContent>
  <xr:revisionPtr revIDLastSave="0" documentId="13_ncr:1_{59C1DE91-FF37-4B65-B40B-DD1283F6E76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I57" i="1" l="1"/>
  <c r="F57" i="1"/>
  <c r="H57" i="1" l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D17" i="1" l="1"/>
  <c r="G12" i="1"/>
  <c r="G14" i="1"/>
  <c r="G13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<sst xmlns="http://schemas.openxmlformats.org/spreadsheetml/2006/main" count="308" uniqueCount="132">
  <si>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</si>
  <si>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</si>
  <si>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</si>
  <si>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</si>
  <si>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</si>
  <si>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</si>
  <si>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</si>
  <si>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</si>
  <si>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</si>
  <si>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</si>
  <si>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</si>
  <si>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</si>
  <si>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</si>
  <si>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</si>
  <si>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</si>
  <si>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</si>
  <si>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</si>
  <si>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</si>
  <si>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</si>
  <si>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</si>
  <si>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</si>
  <si>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</si>
  <si>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</si>
  <si>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</si>
  <si>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</si>
  <si>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</si>
  <si>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</si>
  <si>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</si>
  <si>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</si>
  <si>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</si>
  <si>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</si>
  <si>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</si>
  <si>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</si>
  <si>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</si>
  <si>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</si>
  <si>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</si>
  <si>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</si>
  <si>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</si>
  <si>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</si>
  <si>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</si>
  <si>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</si>
  <si>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</si>
  <si>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</si>
  <si>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</si>
  <si>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</si>
  <si>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</si>
  <si>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</si>
  <si>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</si>
  <si>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</si>
  <si>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</si>
  <si>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</si>
  <si>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</si>
  <si>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</si>
  <si>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</si>
  <si>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</si>
  <si>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</si>
  <si>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</si>
  <si>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</si>
  <si>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</si>
  <si>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</si>
  <si>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</si>
  <si>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</si>
  <si>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</si>
  <si>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</si>
  <si>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</si>
  <si>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</si>
  <si>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</si>
  <si>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</si>
  <si>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</si>
  <si>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</si>
  <si>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</si>
  <si>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</si>
  <si>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</si>
  <si>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</si>
  <si>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</si>
  <si>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</si>
  <si>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</si>
  <si>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</si>
  <si>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</si>
  <si>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</si>
  <si>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</si>
  <si>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</si>
  <si>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</si>
  <si>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</si>
  <si>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</si>
  <si>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</si>
  <si>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</si>
  <si>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</si>
  <si>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</si>
  <si>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</si>
  <si>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</si>
  <si>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</si>
  <si>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</si>
  <si>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</si>
  <si>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</si>
  <si>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</si>
  <si>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</si>
  <si>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</si>
  <si>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</si>
  <si>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</si>
  <si>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</si>
  <si>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</si>
  <si>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</si>
  <si>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</si>
  <si>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</si>
  <si>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</si>
  <si>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</si>
  <si>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</si>
  <si>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</si>
  <si>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</si>
  <si>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</si>
  <si>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</si>
  <si>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</si>
  <si>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</si>
  <si>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</si>
  <si>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</si>
  <si>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</si>
  <si>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</si>
  <si>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</si>
  <si>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</si>
  <si>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</si>
  <si>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</si>
  <si>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</si>
  <si>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</si>
  <si>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</si>
  <si>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JULIO 2021</t>
  </si>
  <si>
    <t>Julio</t>
  </si>
  <si>
    <t>Enero - Julio</t>
  </si>
  <si>
    <t>Grafico N° 11: Generación de energía eléctrica por Región, al mes de julio 2021</t>
  </si>
  <si>
    <t>Cuadro N° 8: Producción de energía eléctrica nacional por zona del país, al mes de julio</t>
  </si>
  <si>
    <t>3.2 Producción de energía eléctrica (GWh) por origen y zona al mes de julio 2021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</si>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</sst>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99" fillId="0" borderId="86" xfId="0" applyNumberFormat="1" applyFont="1" applyBorder="1"/>
    <xf numFmtId="167" fontId="99" fillId="0" borderId="60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4" fontId="99" fillId="0" borderId="78" xfId="0" applyNumberFormat="1" applyFont="1" applyBorder="1"/>
    <xf numFmtId="4" fontId="99" fillId="0" borderId="108" xfId="0" applyNumberFormat="1" applyFont="1" applyBorder="1"/>
    <xf numFmtId="167" fontId="0" fillId="68" borderId="30" xfId="0" applyNumberFormat="1" applyFill="1" applyBorder="1"/>
    <xf numFmtId="167" fontId="0" fillId="68" borderId="35" xfId="0" applyNumberFormat="1" applyFill="1" applyBorder="1"/>
    <xf numFmtId="3" fontId="99" fillId="0" borderId="28" xfId="0" applyNumberFormat="1" applyFont="1" applyBorder="1"/>
    <xf numFmtId="3" fontId="99" fillId="0" borderId="60" xfId="0" applyNumberFormat="1" applyFont="1" applyBorder="1"/>
    <xf numFmtId="4" fontId="0" fillId="68" borderId="84" xfId="0" applyNumberFormat="1" applyFont="1" applyFill="1" applyBorder="1" applyAlignment="1">
      <alignment vertical="center"/>
    </xf>
    <xf numFmtId="178" fontId="96" fillId="68" borderId="34" xfId="33743" applyNumberFormat="1" applyFont="1" applyFill="1" applyBorder="1" applyAlignment="1">
      <alignment horizontal="center" vertic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Julio 2021</a:t>
            </a:r>
          </a:p>
          <a:p>
            <a:pPr>
              <a:defRPr sz="800" b="1"/>
            </a:pPr>
            <a:r>
              <a:rPr lang="es-PE" sz="800" b="1"/>
              <a:t>Total : 4 763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45.03140116431554</c:v>
                </c:pt>
                <c:pt idx="1">
                  <c:v>107.10171087729103</c:v>
                </c:pt>
                <c:pt idx="2">
                  <c:v>2062.8426189326588</c:v>
                </c:pt>
                <c:pt idx="3">
                  <c:v>2342.4476345396524</c:v>
                </c:pt>
                <c:pt idx="4">
                  <c:v>206.07203833750003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1694.8370114003949</c:v>
                </c:pt>
                <c:pt idx="2" formatCode="_ * #,##0.00_ ;_ * \-#,##0.00_ ;_ * &quot;-&quot;??_ ;_ @_ ">
                  <c:v>6.4619999999999999E-3</c:v>
                </c:pt>
                <c:pt idx="3">
                  <c:v>2244.1970559727238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60.514542702499988</c:v>
                </c:pt>
                <c:pt idx="1">
                  <c:v>290.47734928726481</c:v>
                </c:pt>
                <c:pt idx="2">
                  <c:v>58.620117202499991</c:v>
                </c:pt>
                <c:pt idx="3">
                  <c:v>46.194066513082817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32.971113716666665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3939.0405293731187</c:v>
                </c:pt>
                <c:pt idx="1">
                  <c:v>455.80607570534761</c:v>
                </c:pt>
                <c:pt idx="2">
                  <c:v>335.6776850562859</c:v>
                </c:pt>
                <c:pt idx="3">
                  <c:v>32.971113716666665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PIURA</c:v>
                </c:pt>
                <c:pt idx="6">
                  <c:v>CAJAMARCA</c:v>
                </c:pt>
                <c:pt idx="7">
                  <c:v>ANCASH</c:v>
                </c:pt>
                <c:pt idx="8">
                  <c:v>ICA</c:v>
                </c:pt>
                <c:pt idx="9">
                  <c:v>AREQUIPA</c:v>
                </c:pt>
                <c:pt idx="10">
                  <c:v>LA LIBERTAD</c:v>
                </c:pt>
                <c:pt idx="11">
                  <c:v>HUANUCO</c:v>
                </c:pt>
                <c:pt idx="12">
                  <c:v>PASCO</c:v>
                </c:pt>
                <c:pt idx="13">
                  <c:v>MOQUEGUA</c:v>
                </c:pt>
                <c:pt idx="14">
                  <c:v>PUNO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SAN MARTÍN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2300.5567020028998</c:v>
                </c:pt>
                <c:pt idx="1">
                  <c:v>826.6101416495153</c:v>
                </c:pt>
                <c:pt idx="2">
                  <c:v>340.97356771114409</c:v>
                </c:pt>
                <c:pt idx="3">
                  <c:v>210.48946427803313</c:v>
                </c:pt>
                <c:pt idx="4">
                  <c:v>142.14966001330052</c:v>
                </c:pt>
                <c:pt idx="5">
                  <c:v>130.54337675417199</c:v>
                </c:pt>
                <c:pt idx="6">
                  <c:v>106.57427885279998</c:v>
                </c:pt>
                <c:pt idx="7">
                  <c:v>104.61284779172382</c:v>
                </c:pt>
                <c:pt idx="8">
                  <c:v>103.63534220666669</c:v>
                </c:pt>
                <c:pt idx="9">
                  <c:v>91.219186450864655</c:v>
                </c:pt>
                <c:pt idx="10">
                  <c:v>83.826020143480591</c:v>
                </c:pt>
                <c:pt idx="11">
                  <c:v>76.193363153135593</c:v>
                </c:pt>
                <c:pt idx="12">
                  <c:v>59.78238426999998</c:v>
                </c:pt>
                <c:pt idx="13">
                  <c:v>53.623242511666675</c:v>
                </c:pt>
                <c:pt idx="14">
                  <c:v>47.187122586666668</c:v>
                </c:pt>
                <c:pt idx="15">
                  <c:v>32.971113716666665</c:v>
                </c:pt>
                <c:pt idx="16">
                  <c:v>19.822058516666665</c:v>
                </c:pt>
                <c:pt idx="17">
                  <c:v>12.782984477500001</c:v>
                </c:pt>
                <c:pt idx="18">
                  <c:v>5.2397868058333348</c:v>
                </c:pt>
                <c:pt idx="19">
                  <c:v>4.4182364999999999</c:v>
                </c:pt>
                <c:pt idx="20">
                  <c:v>4.2972565000000005</c:v>
                </c:pt>
                <c:pt idx="21">
                  <c:v>3.975438</c:v>
                </c:pt>
                <c:pt idx="22">
                  <c:v>1.1005480000000003</c:v>
                </c:pt>
                <c:pt idx="23">
                  <c:v>0.79155813451574986</c:v>
                </c:pt>
                <c:pt idx="24">
                  <c:v>0.11972282416666667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2134.8724821470246</c:v>
                </c:pt>
                <c:pt idx="1">
                  <c:v>2054.4032551637056</c:v>
                </c:pt>
                <c:pt idx="2">
                  <c:v>170.27473499999999</c:v>
                </c:pt>
                <c:pt idx="3">
                  <c:v>61.054707000000001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2107.8740200969742</c:v>
                </c:pt>
                <c:pt idx="1">
                  <c:v>2449.5493454169437</c:v>
                </c:pt>
                <c:pt idx="2">
                  <c:v>147.45192113500005</c:v>
                </c:pt>
                <c:pt idx="3">
                  <c:v>58.620117202499991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160.76257074125127</c:v>
                </c:pt>
                <c:pt idx="1">
                  <c:v>148.43982878454494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4259.8426085694773</c:v>
                </c:pt>
                <c:pt idx="1">
                  <c:v>4615.0555750668727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2008.7717187470246</c:v>
                </c:pt>
                <c:pt idx="1">
                  <c:v>1973.4045217744745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2018.4581761637053</c:v>
                </c:pt>
                <c:pt idx="1">
                  <c:v>2396.4866522632074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126.10076339999995</c:v>
                </c:pt>
                <c:pt idx="1">
                  <c:v>134.46949832249996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267.27452099999999</c:v>
                </c:pt>
                <c:pt idx="1">
                  <c:v>259.13473149123604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2107.8740200969742</c:v>
                </c:pt>
                <c:pt idx="1">
                  <c:v>2278.0808912377574</c:v>
                </c:pt>
                <c:pt idx="2">
                  <c:v>118.15999786181601</c:v>
                </c:pt>
                <c:pt idx="3">
                  <c:v>53.062693153736006</c:v>
                </c:pt>
                <c:pt idx="4">
                  <c:v>147.45192113500005</c:v>
                </c:pt>
                <c:pt idx="5">
                  <c:v>58.620117202499991</c:v>
                </c:pt>
                <c:pt idx="6" formatCode="#,##0.0">
                  <c:v>0.24576316363450346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4153.3306583107287</c:v>
                </c:pt>
                <c:pt idx="1">
                  <c:v>4504.3606723601815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09030029912E-2"/>
                  <c:y val="1.26825411651381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267.27452099999999</c:v>
                </c:pt>
                <c:pt idx="1">
                  <c:v>259.13473149123604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491769503910587E-2"/>
                  <c:y val="2.0933497003777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6.0461070409747394E-2</c:v>
                </c:pt>
                <c:pt idx="1">
                  <c:v>5.4400122078782406E-2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2134.8724821470246</c:v>
                </c:pt>
                <c:pt idx="1">
                  <c:v>1945.254058</c:v>
                </c:pt>
                <c:pt idx="2">
                  <c:v>73.014118163704552</c:v>
                </c:pt>
                <c:pt idx="3" formatCode="#,##0.00">
                  <c:v>0.19</c:v>
                </c:pt>
                <c:pt idx="4">
                  <c:v>35.945078999999993</c:v>
                </c:pt>
                <c:pt idx="5">
                  <c:v>170.27473499999999</c:v>
                </c:pt>
                <c:pt idx="6">
                  <c:v>61.054707000000001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2107.8740200969742</c:v>
                </c:pt>
                <c:pt idx="1">
                  <c:v>2278.0808912377574</c:v>
                </c:pt>
                <c:pt idx="2">
                  <c:v>118.15999786181601</c:v>
                </c:pt>
                <c:pt idx="3" formatCode="#,##0.00">
                  <c:v>0.24576316363450346</c:v>
                </c:pt>
                <c:pt idx="4">
                  <c:v>53.062693153736006</c:v>
                </c:pt>
                <c:pt idx="5">
                  <c:v>147.45192113500005</c:v>
                </c:pt>
                <c:pt idx="6">
                  <c:v>58.620117202499991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86.937378432500054</c:v>
                </c:pt>
                <c:pt idx="1">
                  <c:v>122.55965940931479</c:v>
                </c:pt>
                <c:pt idx="2">
                  <c:v>0</c:v>
                </c:pt>
                <c:pt idx="3">
                  <c:v>126.18064721447104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julio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view="pageBreakPreview" topLeftCell="A22" zoomScaleNormal="120" zoomScaleSheetLayoutView="100" workbookViewId="0">
      <selection activeCell="L35" sqref="L35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1"/>
      <c r="D8" s="131"/>
      <c r="E8" s="131"/>
      <c r="F8" s="131"/>
      <c r="G8" s="131"/>
      <c r="H8" s="9"/>
      <c r="I8" s="9"/>
      <c r="J8" s="9"/>
      <c r="K8" s="9"/>
    </row>
    <row r="9" spans="2:19" s="1" customFormat="1" ht="26.4">
      <c r="B9" s="8"/>
      <c r="C9" s="181" t="s">
        <v>62</v>
      </c>
      <c r="D9" s="182" t="s">
        <v>69</v>
      </c>
      <c r="E9" s="183" t="s">
        <v>70</v>
      </c>
      <c r="F9" s="184" t="s">
        <v>71</v>
      </c>
      <c r="G9" s="185" t="s">
        <v>72</v>
      </c>
      <c r="H9" s="9"/>
      <c r="I9" s="9"/>
      <c r="J9" s="9"/>
      <c r="K9" s="9"/>
    </row>
    <row r="10" spans="2:19" s="1" customFormat="1" ht="13.8" thickBot="1">
      <c r="B10" s="8"/>
      <c r="C10" s="186" t="s">
        <v>63</v>
      </c>
      <c r="D10" s="187"/>
      <c r="E10" s="188"/>
      <c r="F10" s="189"/>
      <c r="G10" s="190"/>
      <c r="H10" s="9"/>
      <c r="I10" s="9"/>
      <c r="J10" s="9"/>
      <c r="K10" s="9"/>
    </row>
    <row r="11" spans="2:19" s="1" customFormat="1" ht="13.8" thickTop="1">
      <c r="B11" s="8"/>
      <c r="C11" s="132"/>
      <c r="D11" s="133"/>
      <c r="E11" s="134"/>
      <c r="F11" s="135"/>
      <c r="G11" s="136"/>
      <c r="H11" s="9"/>
      <c r="I11" s="9"/>
      <c r="J11" s="9"/>
      <c r="K11" s="9"/>
      <c r="Q11" s="379" t="s">
        <v>64</v>
      </c>
      <c r="R11" s="146" t="s">
        <v>41</v>
      </c>
      <c r="S11" s="147">
        <f>E12</f>
        <v>45.03140116431554</v>
      </c>
    </row>
    <row r="12" spans="2:19" s="1" customFormat="1">
      <c r="B12" s="8"/>
      <c r="C12" s="137" t="s">
        <v>66</v>
      </c>
      <c r="D12" s="138">
        <v>2062.8426189326588</v>
      </c>
      <c r="E12" s="139">
        <v>45.03140116431554</v>
      </c>
      <c r="F12" s="140">
        <f>SUM(D12:E12)</f>
        <v>2107.8740200969742</v>
      </c>
      <c r="G12" s="339">
        <f>(F12/F$16)+0.005</f>
        <v>0.44750573190281651</v>
      </c>
      <c r="H12" s="9"/>
      <c r="I12" s="9"/>
      <c r="J12" s="9"/>
      <c r="K12" s="9"/>
      <c r="Q12" s="379"/>
      <c r="R12" s="146" t="s">
        <v>73</v>
      </c>
      <c r="S12" s="147">
        <f>E13</f>
        <v>107.10171087729103</v>
      </c>
    </row>
    <row r="13" spans="2:19" s="1" customFormat="1">
      <c r="B13" s="8"/>
      <c r="C13" s="137" t="s">
        <v>65</v>
      </c>
      <c r="D13" s="138">
        <v>2342.4476345396524</v>
      </c>
      <c r="E13" s="139">
        <v>107.10171087729103</v>
      </c>
      <c r="F13" s="140">
        <f>SUM(D13:E13)</f>
        <v>2449.5493454169437</v>
      </c>
      <c r="G13" s="339">
        <f>(F13/F$16)</f>
        <v>0.51423359061843854</v>
      </c>
      <c r="H13" s="9"/>
      <c r="I13" s="9"/>
      <c r="J13" s="9"/>
      <c r="K13" s="9"/>
      <c r="Q13" s="379" t="s">
        <v>88</v>
      </c>
      <c r="R13" s="146" t="s">
        <v>41</v>
      </c>
      <c r="S13" s="147">
        <f>D12</f>
        <v>2062.8426189326588</v>
      </c>
    </row>
    <row r="14" spans="2:19" s="1" customFormat="1">
      <c r="B14" s="8"/>
      <c r="C14" s="137" t="s">
        <v>67</v>
      </c>
      <c r="D14" s="138">
        <v>147.45192113500005</v>
      </c>
      <c r="E14" s="141"/>
      <c r="F14" s="140">
        <f>SUM(D14:E14)</f>
        <v>147.45192113500005</v>
      </c>
      <c r="G14" s="339">
        <f>(F14/F$16)</f>
        <v>3.0954563536637631E-2</v>
      </c>
      <c r="H14" s="9"/>
      <c r="I14" s="9"/>
      <c r="J14" s="9"/>
      <c r="K14" s="9"/>
      <c r="Q14" s="379"/>
      <c r="R14" s="146" t="s">
        <v>73</v>
      </c>
      <c r="S14" s="147">
        <f>D13</f>
        <v>2342.4476345396524</v>
      </c>
    </row>
    <row r="15" spans="2:19" s="1" customFormat="1" ht="13.8" thickBot="1">
      <c r="B15" s="8"/>
      <c r="C15" s="142" t="s">
        <v>5</v>
      </c>
      <c r="D15" s="143">
        <v>58.620117202499991</v>
      </c>
      <c r="E15" s="144"/>
      <c r="F15" s="145">
        <f>SUM(D15:E15)</f>
        <v>58.620117202499991</v>
      </c>
      <c r="G15" s="340">
        <f>(F15/F$16)</f>
        <v>1.2306113942107302E-2</v>
      </c>
      <c r="H15" s="9"/>
      <c r="I15" s="9"/>
      <c r="J15" s="9"/>
      <c r="K15" s="9"/>
      <c r="Q15" s="379"/>
      <c r="R15" s="146" t="s">
        <v>87</v>
      </c>
      <c r="S15" s="147">
        <f>SUM(D14:D15)</f>
        <v>206.07203833750003</v>
      </c>
    </row>
    <row r="16" spans="2:19" s="1" customFormat="1" ht="13.8" thickTop="1">
      <c r="B16" s="8"/>
      <c r="C16" s="247" t="s">
        <v>71</v>
      </c>
      <c r="D16" s="248">
        <f>SUM(D12:D15)</f>
        <v>4611.3622918098108</v>
      </c>
      <c r="E16" s="249">
        <f>SUM(E12:E15)</f>
        <v>152.13311204160658</v>
      </c>
      <c r="F16" s="250">
        <f>SUM(F12:F15)</f>
        <v>4763.4954038514179</v>
      </c>
      <c r="G16" s="251"/>
      <c r="H16" s="9"/>
      <c r="I16" s="9"/>
      <c r="J16" s="9"/>
      <c r="K16" s="9"/>
    </row>
    <row r="17" spans="2:19" s="1" customFormat="1">
      <c r="B17" s="8"/>
      <c r="C17" s="252" t="s">
        <v>109</v>
      </c>
      <c r="D17" s="319">
        <f>D16/F16</f>
        <v>0.96806271463627247</v>
      </c>
      <c r="E17" s="320">
        <f>E16/F16</f>
        <v>3.1937285363727391E-2</v>
      </c>
      <c r="F17" s="253"/>
      <c r="G17" s="254"/>
      <c r="H17" s="9"/>
      <c r="I17" s="9"/>
      <c r="J17" s="9"/>
      <c r="K17" s="9"/>
    </row>
    <row r="18" spans="2:19" s="1" customFormat="1">
      <c r="B18" s="8"/>
      <c r="C18" s="132"/>
      <c r="D18" s="132"/>
      <c r="E18" s="132"/>
      <c r="F18" s="132"/>
      <c r="G18" s="13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2"/>
      <c r="D22" s="132"/>
      <c r="E22" s="132"/>
      <c r="F22" s="132"/>
      <c r="G22" s="132"/>
      <c r="H22" s="131"/>
      <c r="I22" s="131"/>
      <c r="J22" s="131"/>
      <c r="K22" s="9"/>
    </row>
    <row r="23" spans="2:19" s="1" customFormat="1" ht="12.75" customHeight="1">
      <c r="B23" s="8"/>
      <c r="C23" s="386" t="s">
        <v>112</v>
      </c>
      <c r="D23" s="387"/>
      <c r="E23" s="380" t="s">
        <v>126</v>
      </c>
      <c r="F23" s="381"/>
      <c r="G23" s="151" t="s">
        <v>74</v>
      </c>
      <c r="H23" s="384" t="s">
        <v>127</v>
      </c>
      <c r="I23" s="385"/>
      <c r="J23" s="151" t="s">
        <v>74</v>
      </c>
      <c r="K23" s="9"/>
      <c r="Q23" s="146"/>
      <c r="R23" s="146">
        <v>2020</v>
      </c>
      <c r="S23" s="146">
        <v>2021</v>
      </c>
    </row>
    <row r="24" spans="2:19" s="1" customFormat="1" ht="12.75" customHeight="1">
      <c r="B24" s="8"/>
      <c r="C24" s="152"/>
      <c r="D24" s="153"/>
      <c r="E24" s="154">
        <v>2020</v>
      </c>
      <c r="F24" s="155">
        <v>2021</v>
      </c>
      <c r="G24" s="156"/>
      <c r="H24" s="236">
        <v>2020</v>
      </c>
      <c r="I24" s="155">
        <v>2021</v>
      </c>
      <c r="J24" s="156"/>
      <c r="K24" s="9"/>
      <c r="Q24" s="146" t="s">
        <v>76</v>
      </c>
      <c r="R24" s="147">
        <f>E29</f>
        <v>160.76257074125127</v>
      </c>
      <c r="S24" s="147">
        <f>F29</f>
        <v>148.43982878454494</v>
      </c>
    </row>
    <row r="25" spans="2:19" s="1" customFormat="1">
      <c r="B25" s="8"/>
      <c r="C25" s="375" t="s">
        <v>0</v>
      </c>
      <c r="D25" s="376"/>
      <c r="E25" s="191">
        <f>SUM(E26:E28)</f>
        <v>4259.8426085694773</v>
      </c>
      <c r="F25" s="192">
        <f>SUM(F26:F28)</f>
        <v>4615.0555750668727</v>
      </c>
      <c r="G25" s="193">
        <f>((F25/E25)-1)</f>
        <v>8.3386406291823478E-2</v>
      </c>
      <c r="H25" s="237">
        <f>SUM(H26:H28)</f>
        <v>28162.57168826105</v>
      </c>
      <c r="I25" s="192">
        <f>SUM(I26:I28)</f>
        <v>32061.971063203269</v>
      </c>
      <c r="J25" s="193">
        <f>((I25/H25)-1)</f>
        <v>0.13846034439275301</v>
      </c>
      <c r="K25" s="9"/>
      <c r="Q25" s="146" t="s">
        <v>0</v>
      </c>
      <c r="R25" s="147">
        <f>E25</f>
        <v>4259.8426085694773</v>
      </c>
      <c r="S25" s="147">
        <f>F25</f>
        <v>4615.0555750668727</v>
      </c>
    </row>
    <row r="26" spans="2:19" s="1" customFormat="1">
      <c r="B26" s="8"/>
      <c r="C26" s="267" t="s">
        <v>62</v>
      </c>
      <c r="D26" s="276" t="s">
        <v>102</v>
      </c>
      <c r="E26" s="158">
        <v>4140.4424893299993</v>
      </c>
      <c r="F26" s="159">
        <v>4483.1664200974983</v>
      </c>
      <c r="G26" s="160">
        <f t="shared" ref="G26:G32" si="0">((F26/E26)-1)</f>
        <v>8.2774711072718832E-2</v>
      </c>
      <c r="H26" s="238">
        <v>27287.340026687496</v>
      </c>
      <c r="I26" s="159">
        <v>31108.097048742497</v>
      </c>
      <c r="J26" s="160">
        <f t="shared" ref="J26:J32" si="1">((I26/H26)-1)</f>
        <v>0.14001940160961945</v>
      </c>
      <c r="K26" s="9"/>
    </row>
    <row r="27" spans="2:19" s="1" customFormat="1">
      <c r="B27" s="8"/>
      <c r="C27" s="268" t="s">
        <v>106</v>
      </c>
      <c r="D27" s="277" t="s">
        <v>77</v>
      </c>
      <c r="E27" s="270">
        <v>79.269030845644792</v>
      </c>
      <c r="F27" s="271">
        <v>88.455151481495975</v>
      </c>
      <c r="G27" s="280">
        <f t="shared" si="0"/>
        <v>0.11588536579611652</v>
      </c>
      <c r="H27" s="272">
        <v>610.88714311367676</v>
      </c>
      <c r="I27" s="271">
        <v>639.44068023929583</v>
      </c>
      <c r="J27" s="280">
        <f t="shared" si="1"/>
        <v>4.6741100131985736E-2</v>
      </c>
      <c r="K27" s="9"/>
    </row>
    <row r="28" spans="2:19" s="1" customFormat="1">
      <c r="B28" s="8"/>
      <c r="C28" s="269" t="s">
        <v>64</v>
      </c>
      <c r="D28" s="278" t="s">
        <v>77</v>
      </c>
      <c r="E28" s="158">
        <v>40.131088393833508</v>
      </c>
      <c r="F28" s="159">
        <v>43.43400348787867</v>
      </c>
      <c r="G28" s="279">
        <f t="shared" si="0"/>
        <v>8.2303152648924405E-2</v>
      </c>
      <c r="H28" s="238">
        <v>264.34451845987815</v>
      </c>
      <c r="I28" s="159">
        <v>314.43333422147862</v>
      </c>
      <c r="J28" s="279">
        <f t="shared" si="1"/>
        <v>0.18948308840836758</v>
      </c>
      <c r="K28" s="9"/>
    </row>
    <row r="29" spans="2:19" s="1" customFormat="1">
      <c r="B29" s="8"/>
      <c r="C29" s="375" t="s">
        <v>76</v>
      </c>
      <c r="D29" s="376"/>
      <c r="E29" s="191">
        <f>SUM(E30:E31)</f>
        <v>160.76257074125127</v>
      </c>
      <c r="F29" s="192">
        <f>SUM(F30:F31)</f>
        <v>148.43982878454494</v>
      </c>
      <c r="G29" s="193">
        <f t="shared" si="0"/>
        <v>-7.6651809559203143E-2</v>
      </c>
      <c r="H29" s="237">
        <f>SUM(H30:H31)</f>
        <v>1247.1757136307513</v>
      </c>
      <c r="I29" s="192">
        <f>SUM(I30:I31)</f>
        <v>1076.1719079914451</v>
      </c>
      <c r="J29" s="193">
        <f t="shared" si="1"/>
        <v>-0.13711284125432777</v>
      </c>
      <c r="K29" s="9"/>
      <c r="Q29" s="146"/>
      <c r="R29" s="146"/>
      <c r="S29" s="146"/>
    </row>
    <row r="30" spans="2:19" s="1" customFormat="1">
      <c r="B30" s="8"/>
      <c r="C30" s="273" t="s">
        <v>68</v>
      </c>
      <c r="D30" s="153"/>
      <c r="E30" s="158">
        <v>37.772289463902752</v>
      </c>
      <c r="F30" s="159">
        <v>39.740720230817054</v>
      </c>
      <c r="G30" s="279">
        <f t="shared" si="0"/>
        <v>5.2113091233070286E-2</v>
      </c>
      <c r="H30" s="238">
        <v>255.27859842128504</v>
      </c>
      <c r="I30" s="159">
        <v>273.49218940131709</v>
      </c>
      <c r="J30" s="279">
        <f t="shared" si="1"/>
        <v>7.1347896348029405E-2</v>
      </c>
      <c r="K30" s="9"/>
    </row>
    <row r="31" spans="2:19" s="1" customFormat="1" ht="13.8" thickBot="1">
      <c r="B31" s="8"/>
      <c r="C31" s="274" t="s">
        <v>64</v>
      </c>
      <c r="D31" s="275"/>
      <c r="E31" s="162">
        <v>122.99028127734852</v>
      </c>
      <c r="F31" s="163">
        <v>108.6991085537279</v>
      </c>
      <c r="G31" s="164">
        <f t="shared" si="0"/>
        <v>-0.11619757736299008</v>
      </c>
      <c r="H31" s="239">
        <v>991.89711520946628</v>
      </c>
      <c r="I31" s="163">
        <v>802.679718590128</v>
      </c>
      <c r="J31" s="303">
        <f t="shared" si="1"/>
        <v>-0.19076312826999187</v>
      </c>
      <c r="K31" s="9"/>
    </row>
    <row r="32" spans="2:19" s="1" customFormat="1" ht="14.4" thickTop="1" thickBot="1">
      <c r="B32" s="8"/>
      <c r="C32" s="370" t="s">
        <v>108</v>
      </c>
      <c r="D32" s="371"/>
      <c r="E32" s="194">
        <f>SUM(E25,E29)</f>
        <v>4420.605179310729</v>
      </c>
      <c r="F32" s="195">
        <f>SUM(F25,F29)</f>
        <v>4763.4954038514179</v>
      </c>
      <c r="G32" s="196">
        <f t="shared" si="0"/>
        <v>7.7566353617255945E-2</v>
      </c>
      <c r="H32" s="240">
        <f>SUM(H25,H29)</f>
        <v>29409.7474018918</v>
      </c>
      <c r="I32" s="195">
        <f>SUM(I25,I29)</f>
        <v>33138.142971194713</v>
      </c>
      <c r="J32" s="196">
        <f t="shared" si="1"/>
        <v>0.12677414458388325</v>
      </c>
      <c r="K32" s="9"/>
    </row>
    <row r="33" spans="2:19" s="1" customFormat="1">
      <c r="B33" s="8"/>
      <c r="C33" s="314" t="s">
        <v>103</v>
      </c>
      <c r="D33" s="165"/>
      <c r="E33" s="165"/>
      <c r="F33" s="166"/>
      <c r="G33" s="131"/>
      <c r="H33" s="165"/>
      <c r="I33" s="165"/>
      <c r="J33" s="131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9"/>
      <c r="D38" s="150"/>
      <c r="E38" s="380" t="s">
        <v>126</v>
      </c>
      <c r="F38" s="381"/>
      <c r="G38" s="382" t="s">
        <v>74</v>
      </c>
      <c r="H38" s="384" t="s">
        <v>127</v>
      </c>
      <c r="I38" s="385"/>
      <c r="J38" s="382" t="s">
        <v>74</v>
      </c>
      <c r="K38" s="9"/>
      <c r="Q38" s="146"/>
      <c r="R38" s="146">
        <v>2020</v>
      </c>
      <c r="S38" s="146">
        <v>2021</v>
      </c>
    </row>
    <row r="39" spans="2:19" s="1" customFormat="1" ht="12.75" customHeight="1">
      <c r="B39" s="8"/>
      <c r="C39" s="152" t="s">
        <v>75</v>
      </c>
      <c r="D39" s="153"/>
      <c r="E39" s="154">
        <v>2020</v>
      </c>
      <c r="F39" s="155">
        <v>2021</v>
      </c>
      <c r="G39" s="383"/>
      <c r="H39" s="241">
        <v>2020</v>
      </c>
      <c r="I39" s="94">
        <v>2021</v>
      </c>
      <c r="J39" s="383"/>
      <c r="K39" s="9"/>
      <c r="Q39" s="146" t="s">
        <v>66</v>
      </c>
      <c r="R39" s="147">
        <f>SUM(E41,E46)</f>
        <v>2134.8724821470246</v>
      </c>
      <c r="S39" s="147">
        <f>SUM(F41,F46)</f>
        <v>2107.8740200969742</v>
      </c>
    </row>
    <row r="40" spans="2:19" s="1" customFormat="1">
      <c r="B40" s="8"/>
      <c r="C40" s="375" t="s">
        <v>68</v>
      </c>
      <c r="D40" s="376"/>
      <c r="E40" s="191">
        <f>SUM(E41:E44)</f>
        <v>4257.4838096395488</v>
      </c>
      <c r="F40" s="192">
        <f>SUM(F41:F44)</f>
        <v>4611.3622918098108</v>
      </c>
      <c r="G40" s="193">
        <f>((F40/E40)-1)</f>
        <v>8.3119160986362628E-2</v>
      </c>
      <c r="H40" s="237">
        <f>SUM(H41:H44)</f>
        <v>28153.505768222465</v>
      </c>
      <c r="I40" s="192">
        <f>SUM(I41:I44)</f>
        <v>32021.029918383116</v>
      </c>
      <c r="J40" s="193">
        <f>((I40/H40)-1)</f>
        <v>0.13737273723565946</v>
      </c>
      <c r="K40" s="9"/>
      <c r="Q40" s="146" t="s">
        <v>65</v>
      </c>
      <c r="R40" s="147">
        <f>SUM(E42,E47)</f>
        <v>2054.4032551637056</v>
      </c>
      <c r="S40" s="147">
        <f>SUM(F42,F47)</f>
        <v>2449.5493454169437</v>
      </c>
    </row>
    <row r="41" spans="2:19" s="1" customFormat="1">
      <c r="B41" s="8"/>
      <c r="C41" s="157" t="s">
        <v>66</v>
      </c>
      <c r="D41" s="132"/>
      <c r="E41" s="158">
        <v>2086.8432186395476</v>
      </c>
      <c r="F41" s="159">
        <f>D12</f>
        <v>2062.8426189326588</v>
      </c>
      <c r="G41" s="279">
        <f t="shared" ref="G41:G48" si="2">((F41/E41)-1)</f>
        <v>-1.1500911756339494E-2</v>
      </c>
      <c r="H41" s="238">
        <v>19386.393491222465</v>
      </c>
      <c r="I41" s="159">
        <v>19686.51540952496</v>
      </c>
      <c r="J41" s="279">
        <f t="shared" ref="J41:J48" si="3">((I41/H41)-1)</f>
        <v>1.5481059870077418E-2</v>
      </c>
      <c r="K41" s="9"/>
      <c r="Q41" s="146" t="s">
        <v>67</v>
      </c>
      <c r="R41" s="147">
        <f>E43</f>
        <v>170.27473499999999</v>
      </c>
      <c r="S41" s="147">
        <f>F43</f>
        <v>147.45192113500005</v>
      </c>
    </row>
    <row r="42" spans="2:19" s="1" customFormat="1">
      <c r="B42" s="8"/>
      <c r="C42" s="157" t="s">
        <v>65</v>
      </c>
      <c r="D42" s="132"/>
      <c r="E42" s="158">
        <v>1939.3111490000006</v>
      </c>
      <c r="F42" s="159">
        <f>D13</f>
        <v>2342.4476345396524</v>
      </c>
      <c r="G42" s="279">
        <f t="shared" si="2"/>
        <v>0.20787612433803004</v>
      </c>
      <c r="H42" s="238">
        <v>7379.6033390000011</v>
      </c>
      <c r="I42" s="159">
        <v>10889.858718798152</v>
      </c>
      <c r="J42" s="279">
        <f t="shared" si="3"/>
        <v>0.475669926762462</v>
      </c>
      <c r="K42" s="9"/>
      <c r="Q42" s="146" t="s">
        <v>5</v>
      </c>
      <c r="R42" s="147">
        <f>E44</f>
        <v>61.054707000000001</v>
      </c>
      <c r="S42" s="147">
        <f>F44</f>
        <v>58.620117202499991</v>
      </c>
    </row>
    <row r="43" spans="2:19" s="1" customFormat="1">
      <c r="B43" s="8"/>
      <c r="C43" s="157" t="s">
        <v>67</v>
      </c>
      <c r="D43" s="132"/>
      <c r="E43" s="158">
        <v>170.27473499999999</v>
      </c>
      <c r="F43" s="159">
        <f>D14</f>
        <v>147.45192113500005</v>
      </c>
      <c r="G43" s="279">
        <f t="shared" si="2"/>
        <v>-0.1340352335007301</v>
      </c>
      <c r="H43" s="238">
        <v>975.72008199999993</v>
      </c>
      <c r="I43" s="159">
        <v>1011.7691621000001</v>
      </c>
      <c r="J43" s="279">
        <f t="shared" si="3"/>
        <v>3.6946129084591606E-2</v>
      </c>
      <c r="K43" s="9"/>
    </row>
    <row r="44" spans="2:19" s="1" customFormat="1">
      <c r="B44" s="8"/>
      <c r="C44" s="157" t="s">
        <v>5</v>
      </c>
      <c r="D44" s="132"/>
      <c r="E44" s="158">
        <v>61.054707000000001</v>
      </c>
      <c r="F44" s="159">
        <f>D15</f>
        <v>58.620117202499991</v>
      </c>
      <c r="G44" s="93">
        <f t="shared" si="2"/>
        <v>-3.9875546327656775E-2</v>
      </c>
      <c r="H44" s="238">
        <v>411.78885599999995</v>
      </c>
      <c r="I44" s="159">
        <v>432.88662796000011</v>
      </c>
      <c r="J44" s="160">
        <f t="shared" si="3"/>
        <v>5.1234441273952713E-2</v>
      </c>
      <c r="K44" s="9"/>
      <c r="Q44" s="146"/>
      <c r="R44" s="146"/>
      <c r="S44" s="146"/>
    </row>
    <row r="45" spans="2:19" s="1" customFormat="1">
      <c r="B45" s="8"/>
      <c r="C45" s="375" t="s">
        <v>64</v>
      </c>
      <c r="D45" s="376"/>
      <c r="E45" s="191">
        <f>SUM(E46:E47)</f>
        <v>163.12136967118201</v>
      </c>
      <c r="F45" s="192">
        <f>SUM(F46:F47)</f>
        <v>152.13311204160658</v>
      </c>
      <c r="G45" s="193">
        <f t="shared" si="2"/>
        <v>-6.7362465455785614E-2</v>
      </c>
      <c r="H45" s="237">
        <f>SUM(H46:H47)</f>
        <v>1256.2416336693448</v>
      </c>
      <c r="I45" s="192">
        <f>SUM(I46:I47)</f>
        <v>1117.1130528116066</v>
      </c>
      <c r="J45" s="193">
        <f t="shared" si="3"/>
        <v>-0.11074985665883297</v>
      </c>
      <c r="K45" s="9"/>
    </row>
    <row r="46" spans="2:19" s="1" customFormat="1">
      <c r="B46" s="8"/>
      <c r="C46" s="157" t="s">
        <v>66</v>
      </c>
      <c r="D46" s="132"/>
      <c r="E46" s="158">
        <v>48.029263507477118</v>
      </c>
      <c r="F46" s="159">
        <f>E12</f>
        <v>45.03140116431554</v>
      </c>
      <c r="G46" s="160">
        <f t="shared" si="2"/>
        <v>-6.2417412307287923E-2</v>
      </c>
      <c r="H46" s="238">
        <v>376.1953695638735</v>
      </c>
      <c r="I46" s="159">
        <v>410.80037870368261</v>
      </c>
      <c r="J46" s="160">
        <f t="shared" si="3"/>
        <v>9.1986802442377114E-2</v>
      </c>
      <c r="K46" s="9"/>
    </row>
    <row r="47" spans="2:19" s="1" customFormat="1" ht="13.8" thickBot="1">
      <c r="B47" s="8"/>
      <c r="C47" s="161" t="s">
        <v>65</v>
      </c>
      <c r="D47" s="132"/>
      <c r="E47" s="162">
        <v>115.0921061637049</v>
      </c>
      <c r="F47" s="163">
        <f>E13</f>
        <v>107.10171087729103</v>
      </c>
      <c r="G47" s="303">
        <f t="shared" si="2"/>
        <v>-6.9426093176611747E-2</v>
      </c>
      <c r="H47" s="239">
        <v>880.04626410547121</v>
      </c>
      <c r="I47" s="163">
        <v>706.31267410792407</v>
      </c>
      <c r="J47" s="164">
        <f t="shared" si="3"/>
        <v>-0.19741415546390595</v>
      </c>
      <c r="K47" s="9"/>
    </row>
    <row r="48" spans="2:19" s="1" customFormat="1" ht="14.4" thickTop="1" thickBot="1">
      <c r="B48" s="8"/>
      <c r="C48" s="370" t="s">
        <v>108</v>
      </c>
      <c r="D48" s="371"/>
      <c r="E48" s="194">
        <f>SUM(E40,E45)</f>
        <v>4420.6051793107308</v>
      </c>
      <c r="F48" s="195">
        <f>SUM(F40,F45)</f>
        <v>4763.495403851417</v>
      </c>
      <c r="G48" s="196">
        <f t="shared" si="2"/>
        <v>7.7566353617255279E-2</v>
      </c>
      <c r="H48" s="240">
        <f>SUM(H40,H45)</f>
        <v>29409.747401891811</v>
      </c>
      <c r="I48" s="195">
        <f>SUM(I40,I45)</f>
        <v>33138.14297119472</v>
      </c>
      <c r="J48" s="196">
        <f t="shared" si="3"/>
        <v>0.12677414458388303</v>
      </c>
      <c r="K48" s="9"/>
    </row>
    <row r="49" spans="2:23" s="1" customFormat="1">
      <c r="B49" s="8"/>
      <c r="C49" s="265"/>
      <c r="D49" s="90"/>
      <c r="E49" s="91"/>
      <c r="F49" s="91"/>
      <c r="G49" s="95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5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60"/>
    </row>
    <row r="53" spans="2:23" s="1" customFormat="1" ht="13.8" thickBot="1">
      <c r="B53" s="8"/>
      <c r="C53" s="10"/>
      <c r="H53" s="9"/>
      <c r="I53" s="9"/>
      <c r="J53" s="9"/>
      <c r="K53" s="9"/>
      <c r="L53" s="260"/>
      <c r="M53" s="260"/>
    </row>
    <row r="54" spans="2:23" s="1" customFormat="1" ht="12.75" customHeight="1">
      <c r="B54" s="8"/>
      <c r="C54" s="149"/>
      <c r="D54" s="150"/>
      <c r="E54" s="380" t="s">
        <v>126</v>
      </c>
      <c r="F54" s="381"/>
      <c r="G54" s="382" t="s">
        <v>74</v>
      </c>
      <c r="H54" s="384" t="s">
        <v>127</v>
      </c>
      <c r="I54" s="385"/>
      <c r="J54" s="382" t="s">
        <v>74</v>
      </c>
      <c r="K54" s="9"/>
      <c r="L54" s="260"/>
      <c r="M54" s="260"/>
    </row>
    <row r="55" spans="2:23" s="1" customFormat="1" ht="12.75" customHeight="1">
      <c r="B55" s="8"/>
      <c r="C55" s="152" t="s">
        <v>75</v>
      </c>
      <c r="D55" s="153"/>
      <c r="E55" s="154">
        <v>2020</v>
      </c>
      <c r="F55" s="155">
        <v>2021</v>
      </c>
      <c r="G55" s="383"/>
      <c r="H55" s="241">
        <v>2020</v>
      </c>
      <c r="I55" s="94">
        <v>2021</v>
      </c>
      <c r="J55" s="383"/>
      <c r="K55" s="9"/>
      <c r="L55" s="260"/>
      <c r="M55" s="260"/>
    </row>
    <row r="56" spans="2:23" s="1" customFormat="1">
      <c r="B56" s="8"/>
      <c r="C56" s="375" t="s">
        <v>68</v>
      </c>
      <c r="D56" s="376"/>
      <c r="E56" s="191">
        <f>SUM(E57:E60)</f>
        <v>4257.4838096395479</v>
      </c>
      <c r="F56" s="192">
        <f>SUM(F57:F60)</f>
        <v>4611.3622918098117</v>
      </c>
      <c r="G56" s="193">
        <f>((F56/E56)-1)</f>
        <v>8.3119160986363072E-2</v>
      </c>
      <c r="H56" s="237">
        <f>SUM(H57:H60)</f>
        <v>28153.505768222465</v>
      </c>
      <c r="I56" s="192">
        <f>SUM(I57:I60)</f>
        <v>32021.029918383112</v>
      </c>
      <c r="J56" s="193">
        <f>((I56/H56)-1)</f>
        <v>0.13737273723565946</v>
      </c>
      <c r="K56" s="9"/>
    </row>
    <row r="57" spans="2:23" s="1" customFormat="1" ht="26.4">
      <c r="B57" s="8"/>
      <c r="C57" s="373" t="s">
        <v>78</v>
      </c>
      <c r="D57" s="281" t="s">
        <v>79</v>
      </c>
      <c r="E57" s="327">
        <f>SUM(E43:E44)+14.205988</f>
        <v>245.53542999999999</v>
      </c>
      <c r="F57" s="328">
        <f>SUM(F43:F44)+38.4528147844485</f>
        <v>244.52485312194852</v>
      </c>
      <c r="G57" s="171">
        <f t="shared" ref="G57:G65" si="4">((F57/E57)-1)</f>
        <v>-4.1158087777860564E-3</v>
      </c>
      <c r="H57" s="329">
        <f>SUM(H43:H44)+141.60928</f>
        <v>1529.1182180000001</v>
      </c>
      <c r="I57" s="328">
        <f>SUM(I43:I44)+192.234991156949</f>
        <v>1636.8907812169493</v>
      </c>
      <c r="J57" s="171">
        <f t="shared" ref="J57:J65" si="5">((I57/H57)-1)</f>
        <v>7.0480203524034613E-2</v>
      </c>
      <c r="K57" s="9"/>
      <c r="L57" s="260"/>
      <c r="Q57" s="146"/>
      <c r="R57" s="146"/>
      <c r="T57" s="146">
        <v>2020</v>
      </c>
      <c r="U57" s="146">
        <v>2021</v>
      </c>
      <c r="V57" s="146"/>
      <c r="W57" s="146"/>
    </row>
    <row r="58" spans="2:23" s="1" customFormat="1" ht="13.8">
      <c r="B58" s="8"/>
      <c r="C58" s="374"/>
      <c r="D58" s="282" t="s">
        <v>110</v>
      </c>
      <c r="E58" s="270">
        <v>126.10076339999995</v>
      </c>
      <c r="F58" s="332">
        <v>134.46949832249996</v>
      </c>
      <c r="G58" s="280">
        <f t="shared" si="4"/>
        <v>6.6365458042104253E-2</v>
      </c>
      <c r="H58" s="272">
        <v>1396.4754959025004</v>
      </c>
      <c r="I58" s="271">
        <v>1490.1805757524996</v>
      </c>
      <c r="J58" s="280">
        <f t="shared" si="5"/>
        <v>6.7101127176915076E-2</v>
      </c>
      <c r="K58" s="9"/>
      <c r="L58" s="260"/>
      <c r="M58" s="260"/>
      <c r="Q58" s="379" t="s">
        <v>80</v>
      </c>
      <c r="R58" s="146" t="s">
        <v>66</v>
      </c>
      <c r="T58" s="147">
        <f>SUM(E60,E64)</f>
        <v>2008.7717187470246</v>
      </c>
      <c r="U58" s="147">
        <f>SUM(F60,F64)</f>
        <v>1973.4045217744745</v>
      </c>
      <c r="V58" s="148">
        <f t="shared" ref="V58:W61" si="6">T58/T$64</f>
        <v>0.45441102230718478</v>
      </c>
      <c r="W58" s="148">
        <f t="shared" si="6"/>
        <v>0.41427656677886626</v>
      </c>
    </row>
    <row r="59" spans="2:23" s="1" customFormat="1">
      <c r="B59" s="8"/>
      <c r="C59" s="372" t="s">
        <v>80</v>
      </c>
      <c r="D59" s="283" t="s">
        <v>81</v>
      </c>
      <c r="E59" s="158">
        <f>SUM(E42:E44)-E57</f>
        <v>1925.1051610000004</v>
      </c>
      <c r="F59" s="159">
        <f>SUM(F42:F44)-F57</f>
        <v>2303.9948197552039</v>
      </c>
      <c r="G59" s="279">
        <f t="shared" si="4"/>
        <v>0.19681504492896806</v>
      </c>
      <c r="H59" s="238">
        <f>SUM(H42:H44)-H57</f>
        <v>7237.9940590000006</v>
      </c>
      <c r="I59" s="159">
        <f>SUM(I42:I44)-I57</f>
        <v>10697.623727641203</v>
      </c>
      <c r="J59" s="279">
        <f t="shared" si="5"/>
        <v>0.47798183314883569</v>
      </c>
      <c r="K59" s="9"/>
      <c r="Q59" s="379"/>
      <c r="R59" s="146" t="s">
        <v>65</v>
      </c>
      <c r="T59" s="147">
        <f>SUM(E59,E63)</f>
        <v>2018.4581761637053</v>
      </c>
      <c r="U59" s="147">
        <f>SUM(F59,F63)</f>
        <v>2396.4866522632074</v>
      </c>
      <c r="V59" s="148">
        <f t="shared" si="6"/>
        <v>0.45660222849361715</v>
      </c>
      <c r="W59" s="148">
        <f t="shared" si="6"/>
        <v>0.50309414601840097</v>
      </c>
    </row>
    <row r="60" spans="2:23" s="1" customFormat="1">
      <c r="B60" s="8"/>
      <c r="C60" s="372"/>
      <c r="D60" s="284" t="s">
        <v>41</v>
      </c>
      <c r="E60" s="158">
        <f>E41-E58</f>
        <v>1960.7424552395476</v>
      </c>
      <c r="F60" s="159">
        <f>F41-F58</f>
        <v>1928.3731206101588</v>
      </c>
      <c r="G60" s="160">
        <f t="shared" si="4"/>
        <v>-1.6508713086152871E-2</v>
      </c>
      <c r="H60" s="238">
        <f>H41-H58</f>
        <v>17989.917995319964</v>
      </c>
      <c r="I60" s="159">
        <f>I41-I58</f>
        <v>18196.33483377246</v>
      </c>
      <c r="J60" s="279">
        <f t="shared" si="5"/>
        <v>1.1474028870292585E-2</v>
      </c>
      <c r="K60" s="9"/>
      <c r="Q60" s="379" t="s">
        <v>78</v>
      </c>
      <c r="R60" s="146" t="s">
        <v>66</v>
      </c>
      <c r="T60" s="147">
        <f>E58</f>
        <v>126.10076339999995</v>
      </c>
      <c r="U60" s="147">
        <f>F58</f>
        <v>134.46949832249996</v>
      </c>
      <c r="V60" s="148">
        <f t="shared" si="6"/>
        <v>2.8525678789450688E-2</v>
      </c>
      <c r="W60" s="148">
        <f t="shared" si="6"/>
        <v>2.8229165123950292E-2</v>
      </c>
    </row>
    <row r="61" spans="2:23" s="1" customFormat="1">
      <c r="B61" s="8"/>
      <c r="C61" s="375" t="s">
        <v>64</v>
      </c>
      <c r="D61" s="376"/>
      <c r="E61" s="191">
        <f>SUM(E62:E64)</f>
        <v>163.12136967118201</v>
      </c>
      <c r="F61" s="192">
        <f>SUM(F62:F64)</f>
        <v>152.13311204160658</v>
      </c>
      <c r="G61" s="193">
        <f t="shared" si="4"/>
        <v>-6.7362465455785614E-2</v>
      </c>
      <c r="H61" s="237">
        <f>SUM(H62:H64)</f>
        <v>1256.2416336693448</v>
      </c>
      <c r="I61" s="192">
        <f>SUM(I62:I64)</f>
        <v>1117.1130528116066</v>
      </c>
      <c r="J61" s="193">
        <f t="shared" si="5"/>
        <v>-0.11074985665883297</v>
      </c>
      <c r="K61" s="9"/>
      <c r="Q61" s="379"/>
      <c r="R61" s="146" t="s">
        <v>89</v>
      </c>
      <c r="T61" s="147">
        <f>E57+E62</f>
        <v>267.27452099999999</v>
      </c>
      <c r="U61" s="147">
        <f>F57+F62</f>
        <v>259.13473149123604</v>
      </c>
      <c r="V61" s="148">
        <f t="shared" si="6"/>
        <v>6.0461070409747381E-2</v>
      </c>
      <c r="W61" s="148">
        <f t="shared" si="6"/>
        <v>5.4400122078782406E-2</v>
      </c>
    </row>
    <row r="62" spans="2:23" s="1" customFormat="1">
      <c r="B62" s="8"/>
      <c r="C62" s="315" t="s">
        <v>78</v>
      </c>
      <c r="D62" s="316" t="s">
        <v>114</v>
      </c>
      <c r="E62" s="356">
        <v>21.739091000000002</v>
      </c>
      <c r="F62" s="330">
        <v>14.609878369287499</v>
      </c>
      <c r="G62" s="317">
        <f t="shared" si="4"/>
        <v>-0.32794437590387304</v>
      </c>
      <c r="H62" s="331">
        <v>126.145898</v>
      </c>
      <c r="I62" s="330">
        <v>97.363906369287491</v>
      </c>
      <c r="J62" s="317">
        <f t="shared" si="5"/>
        <v>-0.22816430884429162</v>
      </c>
      <c r="K62" s="9"/>
      <c r="Q62" s="146"/>
      <c r="R62" s="146"/>
      <c r="T62" s="146"/>
      <c r="U62" s="146"/>
      <c r="V62" s="146"/>
      <c r="W62" s="146"/>
    </row>
    <row r="63" spans="2:23" s="1" customFormat="1">
      <c r="B63" s="8"/>
      <c r="C63" s="377" t="s">
        <v>80</v>
      </c>
      <c r="D63" s="283" t="s">
        <v>81</v>
      </c>
      <c r="E63" s="364">
        <f>E47-E62</f>
        <v>93.353015163704896</v>
      </c>
      <c r="F63" s="365">
        <f>F47-F62</f>
        <v>92.491832508003526</v>
      </c>
      <c r="G63" s="337">
        <f t="shared" ref="G63" si="7">((F63/E63)-1)</f>
        <v>-9.2250116848522357E-3</v>
      </c>
      <c r="H63" s="238">
        <f>H47-H62</f>
        <v>753.90036610547122</v>
      </c>
      <c r="I63" s="159">
        <f>I47-I62</f>
        <v>608.94876773863655</v>
      </c>
      <c r="J63" s="337">
        <f t="shared" ref="J63" si="8">((I63/H63)-1)</f>
        <v>-0.19226890565875632</v>
      </c>
      <c r="K63" s="9"/>
      <c r="Q63" s="146"/>
      <c r="R63" s="146"/>
      <c r="T63" s="146"/>
      <c r="U63" s="146"/>
      <c r="V63" s="146"/>
      <c r="W63" s="146"/>
    </row>
    <row r="64" spans="2:23" s="1" customFormat="1" ht="13.8" thickBot="1">
      <c r="B64" s="8"/>
      <c r="C64" s="378"/>
      <c r="D64" s="285" t="s">
        <v>41</v>
      </c>
      <c r="E64" s="162">
        <f>E46</f>
        <v>48.029263507477118</v>
      </c>
      <c r="F64" s="163">
        <f>F46</f>
        <v>45.03140116431554</v>
      </c>
      <c r="G64" s="164">
        <f t="shared" si="4"/>
        <v>-6.2417412307287923E-2</v>
      </c>
      <c r="H64" s="239">
        <f>H46</f>
        <v>376.1953695638735</v>
      </c>
      <c r="I64" s="163">
        <f>I46</f>
        <v>410.80037870368261</v>
      </c>
      <c r="J64" s="164">
        <f t="shared" si="5"/>
        <v>9.1986802442377114E-2</v>
      </c>
      <c r="K64" s="9"/>
      <c r="Q64" s="146"/>
      <c r="R64" s="146"/>
      <c r="T64" s="147">
        <f>SUM(T58:T61)</f>
        <v>4420.6051793107299</v>
      </c>
      <c r="U64" s="147">
        <f>SUM(U58:U61)</f>
        <v>4763.4954038514179</v>
      </c>
      <c r="V64" s="146"/>
      <c r="W64" s="146"/>
    </row>
    <row r="65" spans="2:22" s="1" customFormat="1" ht="14.4" thickTop="1" thickBot="1">
      <c r="B65" s="8"/>
      <c r="C65" s="370" t="s">
        <v>108</v>
      </c>
      <c r="D65" s="371"/>
      <c r="E65" s="194">
        <f>SUM(E56,E61)</f>
        <v>4420.6051793107299</v>
      </c>
      <c r="F65" s="195">
        <f>SUM(F56,F61)</f>
        <v>4763.4954038514179</v>
      </c>
      <c r="G65" s="196">
        <f t="shared" si="4"/>
        <v>7.7566353617255723E-2</v>
      </c>
      <c r="H65" s="240">
        <f>SUM(H56,H61)</f>
        <v>29409.747401891811</v>
      </c>
      <c r="I65" s="195">
        <f>SUM(I56,I61)</f>
        <v>33138.14297119472</v>
      </c>
      <c r="J65" s="196">
        <f t="shared" si="5"/>
        <v>0.12677414458388303</v>
      </c>
      <c r="K65" s="9"/>
      <c r="Q65" s="146"/>
      <c r="R65" s="146"/>
      <c r="S65" s="146"/>
      <c r="T65" s="146"/>
      <c r="U65" s="146"/>
      <c r="V65" s="146"/>
    </row>
    <row r="66" spans="2:22" s="1" customFormat="1">
      <c r="B66" s="8"/>
      <c r="C66" s="265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5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tabSelected="1" view="pageBreakPreview" topLeftCell="A52" zoomScale="120" zoomScaleNormal="100" zoomScaleSheetLayoutView="120" workbookViewId="0">
      <selection activeCell="I60" sqref="I60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2107.8740200969742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2278.0808912377574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118.15999786181601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53.062693153736006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147.45192113500005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58.620117202499991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6">
        <f t="shared" si="0"/>
        <v>0.24576316363450346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4763.4954038514179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1"/>
      <c r="G23" s="264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1"/>
      <c r="D25" s="131"/>
      <c r="E25" s="167"/>
      <c r="F25" s="167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5" t="s">
        <v>61</v>
      </c>
      <c r="D26" s="394" t="s">
        <v>126</v>
      </c>
      <c r="E26" s="394"/>
      <c r="F26" s="390" t="s">
        <v>74</v>
      </c>
      <c r="G26" s="388" t="s">
        <v>127</v>
      </c>
      <c r="H26" s="389"/>
      <c r="I26" s="390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6"/>
      <c r="D27" s="96">
        <v>2020</v>
      </c>
      <c r="E27" s="97">
        <v>2021</v>
      </c>
      <c r="F27" s="391"/>
      <c r="G27" s="242">
        <v>2020</v>
      </c>
      <c r="H27" s="97">
        <v>2021</v>
      </c>
      <c r="I27" s="391"/>
      <c r="J27" s="20"/>
      <c r="K27" s="54"/>
      <c r="L27" s="54"/>
      <c r="M27" s="55" t="s">
        <v>85</v>
      </c>
      <c r="N27" s="70">
        <f t="shared" ref="N27:O29" si="1">D28</f>
        <v>2134.8724821470246</v>
      </c>
      <c r="O27" s="70">
        <f t="shared" si="1"/>
        <v>2107.8740200969742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8" t="s">
        <v>85</v>
      </c>
      <c r="D28" s="169">
        <f>'Resumen (G)'!E41+'Resumen (G)'!E46</f>
        <v>2134.8724821470246</v>
      </c>
      <c r="E28" s="170">
        <f>'Resumen (G)'!F41+'Resumen (G)'!F46</f>
        <v>2107.8740200969742</v>
      </c>
      <c r="F28" s="171">
        <f>+E28/D28-1</f>
        <v>-1.2646405008180261E-2</v>
      </c>
      <c r="G28" s="255">
        <f>'Resumen (G)'!H41+'Resumen (G)'!H46</f>
        <v>19762.588860786338</v>
      </c>
      <c r="H28" s="170">
        <f>'Resumen (G)'!I41+'Resumen (G)'!I46</f>
        <v>20097.315788228643</v>
      </c>
      <c r="I28" s="359">
        <f>+H28/G28-1</f>
        <v>1.69374027765401E-2</v>
      </c>
      <c r="J28" s="304"/>
      <c r="K28" s="54"/>
      <c r="L28" s="54"/>
      <c r="M28" s="55" t="s">
        <v>2</v>
      </c>
      <c r="N28" s="70">
        <f t="shared" si="1"/>
        <v>1945.254058</v>
      </c>
      <c r="O28" s="70">
        <f t="shared" si="1"/>
        <v>2278.0808912377574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2" t="s">
        <v>2</v>
      </c>
      <c r="D29" s="173">
        <v>1945.254058</v>
      </c>
      <c r="E29" s="174">
        <v>2278.0808912377574</v>
      </c>
      <c r="F29" s="175">
        <f t="shared" ref="F29:F35" si="2">+E29/D29-1</f>
        <v>0.17109684561200766</v>
      </c>
      <c r="G29" s="256">
        <v>7381.9194029999999</v>
      </c>
      <c r="H29" s="174">
        <v>10704.877244965261</v>
      </c>
      <c r="I29" s="175">
        <f t="shared" ref="I29:I35" si="3">+H29/G29-1</f>
        <v>0.45014821492291235</v>
      </c>
      <c r="J29" s="262"/>
      <c r="K29" s="263"/>
      <c r="L29" s="54"/>
      <c r="M29" s="55" t="s">
        <v>84</v>
      </c>
      <c r="N29" s="70">
        <f t="shared" si="1"/>
        <v>73.014118163704552</v>
      </c>
      <c r="O29" s="70">
        <f t="shared" si="1"/>
        <v>118.15999786181601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2" t="s">
        <v>3</v>
      </c>
      <c r="D30" s="173">
        <f>'Resumen (G)'!E32-SUM('TipoRecurso (G)'!D28:D29,'TipoRecurso (G)'!D31:D34)</f>
        <v>73.014118163704552</v>
      </c>
      <c r="E30" s="174">
        <f>'Resumen (G)'!F32-SUM('TipoRecurso (G)'!E28:E29,'TipoRecurso (G)'!E31:E34)</f>
        <v>118.15999786181601</v>
      </c>
      <c r="F30" s="175">
        <f t="shared" si="2"/>
        <v>0.61831712596857136</v>
      </c>
      <c r="G30" s="256">
        <f>'Resumen (G)'!H32-SUM('TipoRecurso (G)'!G28:G29,'TipoRecurso (G)'!G31:G34)</f>
        <v>608.38202210546297</v>
      </c>
      <c r="H30" s="174">
        <f>'Resumen (G)'!I32-SUM('TipoRecurso (G)'!H28:H29,'TipoRecurso (G)'!H31:H34)</f>
        <v>600.09463613893604</v>
      </c>
      <c r="I30" s="175">
        <f t="shared" si="3"/>
        <v>-1.362200996315821E-2</v>
      </c>
      <c r="J30" s="304"/>
      <c r="K30" s="54"/>
      <c r="L30" s="54"/>
      <c r="M30" s="55" t="s">
        <v>4</v>
      </c>
      <c r="N30" s="100">
        <f>D34</f>
        <v>0.19</v>
      </c>
      <c r="O30" s="100">
        <f>E34</f>
        <v>0.24576316363450346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2" t="s">
        <v>6</v>
      </c>
      <c r="D31" s="173">
        <f>'Resumen (G)'!E57+'Resumen (G)'!E62-SUM('TipoRecurso (G)'!D32:D33)</f>
        <v>35.945078999999993</v>
      </c>
      <c r="E31" s="174">
        <f>'Resumen (G)'!F57+'Resumen (G)'!F62-SUM('TipoRecurso (G)'!E32:E33)</f>
        <v>53.062693153736006</v>
      </c>
      <c r="F31" s="175">
        <f t="shared" si="2"/>
        <v>0.47621578891886762</v>
      </c>
      <c r="G31" s="256">
        <f>'Resumen (G)'!H57+'Resumen (G)'!H62-SUM('TipoRecurso (G)'!G32:G33)</f>
        <v>267.75517800000011</v>
      </c>
      <c r="H31" s="174">
        <f>'Resumen (G)'!I57+'Resumen (G)'!I62-SUM('TipoRecurso (G)'!H32:H33)</f>
        <v>289.59889752623644</v>
      </c>
      <c r="I31" s="175">
        <f t="shared" si="3"/>
        <v>8.1580941550405184E-2</v>
      </c>
      <c r="J31" s="20"/>
      <c r="K31" s="54"/>
      <c r="L31" s="54"/>
      <c r="M31" s="55" t="s">
        <v>90</v>
      </c>
      <c r="N31" s="70">
        <f t="shared" ref="N31:O33" si="4">D31</f>
        <v>35.945078999999993</v>
      </c>
      <c r="O31" s="70">
        <f t="shared" si="4"/>
        <v>53.062693153736006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2" t="s">
        <v>14</v>
      </c>
      <c r="D32" s="173">
        <f>'Resumen (G)'!E43</f>
        <v>170.27473499999999</v>
      </c>
      <c r="E32" s="174">
        <f>'Resumen (G)'!F43</f>
        <v>147.45192113500005</v>
      </c>
      <c r="F32" s="175">
        <f t="shared" si="2"/>
        <v>-0.1340352335007301</v>
      </c>
      <c r="G32" s="256">
        <f>'Resumen (G)'!H43</f>
        <v>975.72008199999993</v>
      </c>
      <c r="H32" s="174">
        <f>'Resumen (G)'!I43</f>
        <v>1011.7691621000001</v>
      </c>
      <c r="I32" s="175">
        <f t="shared" si="3"/>
        <v>3.6946129084591606E-2</v>
      </c>
      <c r="J32" s="20"/>
      <c r="K32" s="54"/>
      <c r="L32" s="54"/>
      <c r="M32" s="55" t="s">
        <v>14</v>
      </c>
      <c r="N32" s="70">
        <f t="shared" si="4"/>
        <v>170.27473499999999</v>
      </c>
      <c r="O32" s="70">
        <f t="shared" si="4"/>
        <v>147.45192113500005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2" t="s">
        <v>5</v>
      </c>
      <c r="D33" s="173">
        <f>'Resumen (G)'!E44</f>
        <v>61.054707000000001</v>
      </c>
      <c r="E33" s="174">
        <f>'Resumen (G)'!F44</f>
        <v>58.620117202499991</v>
      </c>
      <c r="F33" s="175">
        <f t="shared" si="2"/>
        <v>-3.9875546327656775E-2</v>
      </c>
      <c r="G33" s="256">
        <f>'Resumen (G)'!H44</f>
        <v>411.78885599999995</v>
      </c>
      <c r="H33" s="174">
        <f>'Resumen (G)'!I44</f>
        <v>432.88662796000011</v>
      </c>
      <c r="I33" s="175">
        <f t="shared" si="3"/>
        <v>5.1234441273952713E-2</v>
      </c>
      <c r="J33" s="20"/>
      <c r="K33" s="54"/>
      <c r="L33" s="54"/>
      <c r="M33" s="55" t="s">
        <v>5</v>
      </c>
      <c r="N33" s="70">
        <f t="shared" si="4"/>
        <v>61.054707000000001</v>
      </c>
      <c r="O33" s="70">
        <f t="shared" si="4"/>
        <v>58.620117202499991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6" t="s">
        <v>4</v>
      </c>
      <c r="D34" s="360">
        <v>0.19</v>
      </c>
      <c r="E34" s="361">
        <v>0.24576316363450346</v>
      </c>
      <c r="F34" s="177">
        <f t="shared" si="2"/>
        <v>0.29349033491843923</v>
      </c>
      <c r="G34" s="368">
        <v>1.593</v>
      </c>
      <c r="H34" s="361">
        <v>1.6006142756345034</v>
      </c>
      <c r="I34" s="369">
        <f t="shared" si="3"/>
        <v>4.7798340455138533E-3</v>
      </c>
      <c r="J34" s="20"/>
      <c r="K34" s="54"/>
      <c r="L34" s="54"/>
      <c r="M34" s="98"/>
      <c r="N34" s="99">
        <f>SUM(N27:N33)</f>
        <v>4420.605179310729</v>
      </c>
      <c r="O34" s="99">
        <f>SUM(O27:O33)</f>
        <v>4763.4954038514179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7" t="s">
        <v>108</v>
      </c>
      <c r="D35" s="308">
        <f>SUM(D28:D34)</f>
        <v>4420.605179310729</v>
      </c>
      <c r="E35" s="309">
        <f>SUM(E28:E34)</f>
        <v>4763.4954038514179</v>
      </c>
      <c r="F35" s="310">
        <f t="shared" si="2"/>
        <v>7.7566353617255945E-2</v>
      </c>
      <c r="G35" s="311">
        <f>SUM(G28:G34)</f>
        <v>29409.7474018918</v>
      </c>
      <c r="H35" s="309">
        <f>SUM(H28:H34)</f>
        <v>33138.142971194713</v>
      </c>
      <c r="I35" s="312">
        <f t="shared" si="3"/>
        <v>0.12677414458388325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8"/>
      <c r="D36" s="178"/>
      <c r="E36" s="179"/>
      <c r="F36" s="180"/>
      <c r="G36" s="17"/>
      <c r="H36" s="17"/>
      <c r="I36" s="18"/>
      <c r="J36" s="20"/>
      <c r="K36" s="54"/>
      <c r="L36" s="54"/>
      <c r="M36" s="55"/>
      <c r="N36" s="99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1"/>
      <c r="N39" s="23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1">
        <f t="shared" ref="M40:N46" si="5">N27/N$34</f>
        <v>0.48293670109663556</v>
      </c>
      <c r="N40" s="231">
        <f t="shared" si="5"/>
        <v>0.4425057319028165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1">
        <f t="shared" si="5"/>
        <v>0.44004247814397857</v>
      </c>
      <c r="N41" s="231">
        <f t="shared" si="5"/>
        <v>0.47823723927514783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1">
        <f t="shared" si="5"/>
        <v>1.6516769809125791E-2</v>
      </c>
      <c r="N42" s="231">
        <f t="shared" si="5"/>
        <v>2.4805313712758154E-2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1">
        <f t="shared" si="5"/>
        <v>4.2980540512696326E-5</v>
      </c>
      <c r="N43" s="231">
        <f t="shared" si="5"/>
        <v>5.1593030495168977E-5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1">
        <f t="shared" si="5"/>
        <v>8.1312574957451041E-3</v>
      </c>
      <c r="N44" s="231">
        <f t="shared" si="5"/>
        <v>1.1139444600037475E-2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1">
        <f t="shared" si="5"/>
        <v>3.8518421820821741E-2</v>
      </c>
      <c r="N45" s="231">
        <f t="shared" si="5"/>
        <v>3.0954563536637631E-2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1">
        <f t="shared" si="5"/>
        <v>1.3811391093180548E-2</v>
      </c>
      <c r="N46" s="231">
        <f t="shared" si="5"/>
        <v>1.2306113942107302E-2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1">
        <f>N34/N$34</f>
        <v>1</v>
      </c>
      <c r="N47" s="23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2">
        <f>SUM(M39:M46)</f>
        <v>0.99999999999999989</v>
      </c>
      <c r="N49" s="232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2" t="s">
        <v>91</v>
      </c>
      <c r="D53" s="394" t="s">
        <v>126</v>
      </c>
      <c r="E53" s="394"/>
      <c r="F53" s="390" t="s">
        <v>74</v>
      </c>
      <c r="G53" s="388" t="s">
        <v>127</v>
      </c>
      <c r="H53" s="389"/>
      <c r="I53" s="390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3"/>
      <c r="D54" s="96">
        <v>2020</v>
      </c>
      <c r="E54" s="97">
        <v>2021</v>
      </c>
      <c r="F54" s="391"/>
      <c r="G54" s="242">
        <v>2020</v>
      </c>
      <c r="H54" s="97">
        <v>2021</v>
      </c>
      <c r="I54" s="391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0" t="s">
        <v>42</v>
      </c>
      <c r="D55" s="291">
        <f>SUM(D28:D30,D34)</f>
        <v>4153.3306583107287</v>
      </c>
      <c r="E55" s="292">
        <f>SUM(E28:E30,E34)</f>
        <v>4504.3606723601815</v>
      </c>
      <c r="F55" s="293">
        <f>+E55/D55-1</f>
        <v>8.4517714318518955E-2</v>
      </c>
      <c r="G55" s="294">
        <f>SUM(G28:G30,G34)</f>
        <v>27754.483285891802</v>
      </c>
      <c r="H55" s="292">
        <f>SUM(H28:H30,H34)</f>
        <v>31403.888283608474</v>
      </c>
      <c r="I55" s="293">
        <f>+H55/G55-1</f>
        <v>0.13148884668920302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5" t="s">
        <v>104</v>
      </c>
      <c r="D56" s="296">
        <f>SUM(D31:D33)</f>
        <v>267.27452099999999</v>
      </c>
      <c r="E56" s="297">
        <f>SUM(E31:E33)</f>
        <v>259.13473149123604</v>
      </c>
      <c r="F56" s="298">
        <f>+E56/D56-1</f>
        <v>-3.0454790371746476E-2</v>
      </c>
      <c r="G56" s="299">
        <f>SUM(G31:G33)</f>
        <v>1655.2641160000001</v>
      </c>
      <c r="H56" s="297">
        <f>SUM(H31:H33)</f>
        <v>1734.2546875862367</v>
      </c>
      <c r="I56" s="300">
        <f>+H56/G56-1</f>
        <v>4.7720826436520536E-2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3" t="s">
        <v>71</v>
      </c>
      <c r="D57" s="101">
        <f>SUM(D55:D56)</f>
        <v>4420.605179310729</v>
      </c>
      <c r="E57" s="102">
        <f>SUM(E55:E56)</f>
        <v>4763.4954038514179</v>
      </c>
      <c r="F57" s="103">
        <f>+E57/D57-1</f>
        <v>7.7566353617255945E-2</v>
      </c>
      <c r="G57" s="257">
        <f>SUM(G55:G56)</f>
        <v>29409.7474018918</v>
      </c>
      <c r="H57" s="102">
        <f>SUM(H55:H56)</f>
        <v>33138.142971194713</v>
      </c>
      <c r="I57" s="103">
        <f>+H57/G57-1</f>
        <v>0.12677414458388325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6" t="s">
        <v>8</v>
      </c>
      <c r="D58" s="104">
        <f>+D56/D57</f>
        <v>6.0461070409747394E-2</v>
      </c>
      <c r="E58" s="105">
        <f>+E56/E57</f>
        <v>5.4400122078782406E-2</v>
      </c>
      <c r="F58" s="106"/>
      <c r="G58" s="258">
        <f>+G56/G57</f>
        <v>5.6282840290342792E-2</v>
      </c>
      <c r="H58" s="105">
        <f>+H56/H57</f>
        <v>5.2334093950096583E-2</v>
      </c>
      <c r="I58" s="106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6" t="s">
        <v>105</v>
      </c>
      <c r="D59" s="124"/>
      <c r="E59" s="124"/>
      <c r="F59" s="125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4153.3306583107287</v>
      </c>
      <c r="N63" s="76">
        <f>E55</f>
        <v>4504.3606723601815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267.27452099999999</v>
      </c>
      <c r="N64" s="76">
        <f>E56</f>
        <v>259.13473149123604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6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2"/>
      <c r="D76" s="394" t="s">
        <v>126</v>
      </c>
      <c r="E76" s="394"/>
      <c r="F76" s="107" t="s">
        <v>74</v>
      </c>
      <c r="G76" s="388" t="s">
        <v>127</v>
      </c>
      <c r="H76" s="389"/>
      <c r="I76" s="229" t="s">
        <v>74</v>
      </c>
      <c r="J76" s="19"/>
      <c r="K76" s="57"/>
      <c r="L76" s="57"/>
      <c r="M76" s="55" t="s">
        <v>96</v>
      </c>
      <c r="N76" s="70">
        <f>D78</f>
        <v>0.21500783750000002</v>
      </c>
      <c r="O76" s="70">
        <f>E78</f>
        <v>0.50119538499999994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7" t="s">
        <v>95</v>
      </c>
      <c r="D77" s="128">
        <v>2020</v>
      </c>
      <c r="E77" s="234">
        <v>2021</v>
      </c>
      <c r="F77" s="108"/>
      <c r="G77" s="352">
        <v>2020</v>
      </c>
      <c r="H77" s="97">
        <v>2021</v>
      </c>
      <c r="I77" s="230"/>
      <c r="J77" s="19"/>
      <c r="K77" s="57"/>
      <c r="L77" s="57"/>
      <c r="M77" s="55" t="s">
        <v>97</v>
      </c>
      <c r="N77" s="70">
        <f>D79</f>
        <v>4257.268801802049</v>
      </c>
      <c r="O77" s="70">
        <f>E79</f>
        <v>4610.861096424811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7" t="s">
        <v>96</v>
      </c>
      <c r="D78" s="364">
        <v>0.21500783750000002</v>
      </c>
      <c r="E78" s="335">
        <v>0.50119538499999994</v>
      </c>
      <c r="F78" s="160">
        <f>((E78/D78)-1)</f>
        <v>1.331056350445829</v>
      </c>
      <c r="G78" s="238">
        <v>22.765595387500007</v>
      </c>
      <c r="H78" s="335">
        <v>22.039118177499997</v>
      </c>
      <c r="I78" s="160">
        <f>((H78/G78)-1)</f>
        <v>-3.1911188687773095E-2</v>
      </c>
      <c r="J78" s="19"/>
      <c r="K78" s="261"/>
      <c r="L78" s="57"/>
    </row>
    <row r="79" spans="2:28" ht="16.5" customHeight="1" thickBot="1">
      <c r="C79" s="301" t="s">
        <v>97</v>
      </c>
      <c r="D79" s="162">
        <f>'Resumen (G)'!E40-D78</f>
        <v>4257.268801802049</v>
      </c>
      <c r="E79" s="333">
        <f>'Resumen (G)'!F40-E78</f>
        <v>4610.861096424811</v>
      </c>
      <c r="F79" s="164">
        <f>((E79/D79)-1)</f>
        <v>8.3056135537669329E-2</v>
      </c>
      <c r="G79" s="239">
        <f>'Resumen (G)'!H40-G78</f>
        <v>28130.740172834965</v>
      </c>
      <c r="H79" s="333">
        <f>'Resumen (G)'!I40-H78</f>
        <v>31998.990800205615</v>
      </c>
      <c r="I79" s="164">
        <f>((H79/G79)-1)</f>
        <v>0.13750973503022523</v>
      </c>
      <c r="J79" s="19"/>
      <c r="K79" s="57"/>
      <c r="L79" s="57"/>
      <c r="M79" s="70"/>
      <c r="N79" s="70"/>
      <c r="O79" s="70"/>
    </row>
    <row r="80" spans="2:28" ht="14.4" thickTop="1" thickBot="1">
      <c r="C80" s="129" t="s">
        <v>94</v>
      </c>
      <c r="D80" s="233">
        <f>SUM(D78:D79)</f>
        <v>4257.4838096395488</v>
      </c>
      <c r="E80" s="334">
        <f>SUM(E78:E79)</f>
        <v>4611.3622918098108</v>
      </c>
      <c r="F80" s="130"/>
      <c r="G80" s="259">
        <f>SUM(G78:G79)</f>
        <v>28153.505768222465</v>
      </c>
      <c r="H80" s="334">
        <f>SUM(H78:H79)</f>
        <v>32021.029918383116</v>
      </c>
      <c r="I80" s="130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topLeftCell="A33" zoomScaleNormal="100" zoomScaleSheetLayoutView="100" workbookViewId="0">
      <selection activeCell="D56" sqref="D56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9" t="s">
        <v>44</v>
      </c>
      <c r="D8" s="402" t="s">
        <v>126</v>
      </c>
      <c r="E8" s="403"/>
      <c r="F8" s="390" t="s">
        <v>74</v>
      </c>
      <c r="G8" s="388" t="s">
        <v>127</v>
      </c>
      <c r="H8" s="389"/>
      <c r="I8" s="390" t="s">
        <v>74</v>
      </c>
      <c r="J8" s="26"/>
    </row>
    <row r="9" spans="2:13" s="1" customFormat="1" ht="13.5" customHeight="1">
      <c r="B9" s="19"/>
      <c r="C9" s="210"/>
      <c r="D9" s="111">
        <v>2020</v>
      </c>
      <c r="E9" s="97">
        <v>2021</v>
      </c>
      <c r="F9" s="391"/>
      <c r="G9" s="242">
        <v>2020</v>
      </c>
      <c r="H9" s="97">
        <v>2021</v>
      </c>
      <c r="I9" s="391"/>
      <c r="J9" s="26"/>
    </row>
    <row r="10" spans="2:13">
      <c r="C10" s="197" t="s">
        <v>10</v>
      </c>
      <c r="D10" s="198">
        <f>'Por Región (G)'!O8</f>
        <v>283.18383138894228</v>
      </c>
      <c r="E10" s="199">
        <f>'Por Región (G)'!P8</f>
        <v>335.6776850562859</v>
      </c>
      <c r="F10" s="200">
        <f>+E10/D10-1</f>
        <v>0.1853702360402254</v>
      </c>
      <c r="G10" s="347">
        <f>'Por Región (G)'!Q8</f>
        <v>2013.4476854677969</v>
      </c>
      <c r="H10" s="199">
        <f>'Por Región (G)'!R8</f>
        <v>2237.2383692499616</v>
      </c>
      <c r="I10" s="200">
        <f>+H10/G10-1</f>
        <v>0.11114800021743299</v>
      </c>
      <c r="J10" s="26"/>
      <c r="L10" s="146" t="s">
        <v>9</v>
      </c>
      <c r="M10" s="235">
        <f>E11</f>
        <v>3939.0405293731187</v>
      </c>
    </row>
    <row r="11" spans="2:13">
      <c r="C11" s="201" t="s">
        <v>9</v>
      </c>
      <c r="D11" s="202">
        <f>'Por Región (G)'!O9</f>
        <v>3576.6813274929209</v>
      </c>
      <c r="E11" s="203">
        <f>'Por Región (G)'!P9</f>
        <v>3939.0405293731187</v>
      </c>
      <c r="F11" s="204">
        <f>+E11/D11-1</f>
        <v>0.10131157033612337</v>
      </c>
      <c r="G11" s="348">
        <f>'Por Región (G)'!Q9</f>
        <v>23067.77333879139</v>
      </c>
      <c r="H11" s="203">
        <f>'Por Región (G)'!R9</f>
        <v>26499.503145379254</v>
      </c>
      <c r="I11" s="204">
        <f>+H11/G11-1</f>
        <v>0.14876727615564755</v>
      </c>
      <c r="J11" s="26"/>
      <c r="L11" s="146" t="s">
        <v>12</v>
      </c>
      <c r="M11" s="235">
        <f>E12</f>
        <v>455.80607570534761</v>
      </c>
    </row>
    <row r="12" spans="2:13">
      <c r="C12" s="201" t="s">
        <v>12</v>
      </c>
      <c r="D12" s="202">
        <f>'Por Región (G)'!O10</f>
        <v>528.29760647087903</v>
      </c>
      <c r="E12" s="203">
        <f>'Por Región (G)'!P10</f>
        <v>455.80607570534761</v>
      </c>
      <c r="F12" s="204">
        <f>+E12/D12-1</f>
        <v>-0.13721722354524302</v>
      </c>
      <c r="G12" s="348">
        <f>'Por Región (G)'!Q10</f>
        <v>3998.7623504532339</v>
      </c>
      <c r="H12" s="203">
        <f>'Por Región (G)'!R10</f>
        <v>4168.1254442828385</v>
      </c>
      <c r="I12" s="204">
        <f>+H12/G12-1</f>
        <v>4.2353878271963019E-2</v>
      </c>
      <c r="J12" s="26"/>
      <c r="L12" s="146" t="s">
        <v>10</v>
      </c>
      <c r="M12" s="235">
        <f>E10</f>
        <v>335.6776850562859</v>
      </c>
    </row>
    <row r="13" spans="2:13">
      <c r="C13" s="205" t="s">
        <v>11</v>
      </c>
      <c r="D13" s="206">
        <f>'Por Región (G)'!O11</f>
        <v>32.442413957988023</v>
      </c>
      <c r="E13" s="207">
        <f>'Por Región (G)'!P11</f>
        <v>32.971113716666665</v>
      </c>
      <c r="F13" s="208">
        <f>+E13/D13-1</f>
        <v>1.6296560402789151E-2</v>
      </c>
      <c r="G13" s="349">
        <f>'Por Región (G)'!Q11</f>
        <v>329.76402717938794</v>
      </c>
      <c r="H13" s="207">
        <f>'Por Región (G)'!R11</f>
        <v>233.27601228266667</v>
      </c>
      <c r="I13" s="208">
        <f>+H13/G13-1</f>
        <v>-0.2925971511265929</v>
      </c>
      <c r="J13" s="26"/>
      <c r="L13" s="146" t="s">
        <v>11</v>
      </c>
      <c r="M13" s="235">
        <f>E13</f>
        <v>32.971113716666665</v>
      </c>
    </row>
    <row r="14" spans="2:13" ht="13.8" thickBot="1">
      <c r="C14" s="211" t="s">
        <v>108</v>
      </c>
      <c r="D14" s="212">
        <f>SUM(D10:D13)</f>
        <v>4420.6051793107299</v>
      </c>
      <c r="E14" s="213">
        <f>SUM(E10:E13)</f>
        <v>4763.4954038514188</v>
      </c>
      <c r="F14" s="214">
        <f>+E14/D14-1</f>
        <v>7.7566353617255945E-2</v>
      </c>
      <c r="G14" s="350">
        <f>SUM(G10:G13)</f>
        <v>29409.747401891807</v>
      </c>
      <c r="H14" s="213">
        <f>SUM(H10:H13)</f>
        <v>33138.14297119472</v>
      </c>
      <c r="I14" s="214">
        <f>+H14/G14-1</f>
        <v>0.12677414458388303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9" t="s">
        <v>93</v>
      </c>
      <c r="D18" s="399"/>
      <c r="E18" s="399"/>
      <c r="F18" s="399"/>
      <c r="G18" s="400" t="s">
        <v>107</v>
      </c>
      <c r="H18" s="401"/>
      <c r="I18" s="401"/>
      <c r="J18" s="401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2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5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5" t="s">
        <v>13</v>
      </c>
      <c r="D54" s="397" t="s">
        <v>131</v>
      </c>
      <c r="E54" s="398"/>
      <c r="F54" s="398"/>
      <c r="G54" s="398"/>
      <c r="H54" s="398"/>
      <c r="I54" s="19"/>
      <c r="J54" s="19"/>
    </row>
    <row r="55" spans="3:13">
      <c r="C55" s="396"/>
      <c r="D55" s="114" t="s">
        <v>14</v>
      </c>
      <c r="E55" s="115" t="s">
        <v>15</v>
      </c>
      <c r="F55" s="115" t="s">
        <v>5</v>
      </c>
      <c r="G55" s="115" t="s">
        <v>16</v>
      </c>
      <c r="H55" s="115" t="s">
        <v>71</v>
      </c>
      <c r="I55" s="19"/>
      <c r="J55" s="19"/>
    </row>
    <row r="56" spans="3:13">
      <c r="C56" s="216" t="s">
        <v>10</v>
      </c>
      <c r="D56" s="343">
        <f>'Resumen (G)'!F14-'PorZona (G)'!D58</f>
        <v>86.937378432500054</v>
      </c>
      <c r="E56" s="220">
        <v>122.55965940931479</v>
      </c>
      <c r="F56" s="220">
        <v>0</v>
      </c>
      <c r="G56" s="220">
        <v>126.18064721447104</v>
      </c>
      <c r="H56" s="220">
        <f>SUM(D56:G56)</f>
        <v>335.6776850562859</v>
      </c>
      <c r="I56" s="338"/>
      <c r="K56" s="313"/>
      <c r="L56" s="326"/>
      <c r="M56" s="326"/>
    </row>
    <row r="57" spans="3:13">
      <c r="C57" s="217" t="s">
        <v>9</v>
      </c>
      <c r="D57" s="344">
        <v>0</v>
      </c>
      <c r="E57" s="221">
        <v>1694.8370114003949</v>
      </c>
      <c r="F57" s="345">
        <v>6.4619999999999999E-3</v>
      </c>
      <c r="G57" s="221">
        <v>2244.1970559727238</v>
      </c>
      <c r="H57" s="221">
        <f>SUM(D57:G57)</f>
        <v>3939.0405293731187</v>
      </c>
      <c r="I57" s="338"/>
      <c r="K57" s="313"/>
      <c r="L57" s="326"/>
      <c r="M57" s="326"/>
    </row>
    <row r="58" spans="3:13">
      <c r="C58" s="217" t="s">
        <v>12</v>
      </c>
      <c r="D58" s="344">
        <v>60.514542702499988</v>
      </c>
      <c r="E58" s="221">
        <v>290.47734928726481</v>
      </c>
      <c r="F58" s="221">
        <f>'Resumen (G)'!D15</f>
        <v>58.620117202499991</v>
      </c>
      <c r="G58" s="221">
        <v>46.194066513082817</v>
      </c>
      <c r="H58" s="221">
        <f>SUM(D58:G58)</f>
        <v>455.80607570534761</v>
      </c>
      <c r="I58" s="338"/>
      <c r="K58" s="313"/>
      <c r="L58" s="326"/>
      <c r="M58" s="326"/>
    </row>
    <row r="59" spans="3:13">
      <c r="C59" s="218" t="s">
        <v>11</v>
      </c>
      <c r="D59" s="346">
        <v>0</v>
      </c>
      <c r="E59" s="222">
        <v>0</v>
      </c>
      <c r="F59" s="222">
        <v>0</v>
      </c>
      <c r="G59" s="222">
        <f>E13</f>
        <v>32.971113716666665</v>
      </c>
      <c r="H59" s="222">
        <f>SUM(D59:G59)</f>
        <v>32.971113716666665</v>
      </c>
      <c r="I59" s="338"/>
      <c r="K59" s="19"/>
      <c r="L59" s="326"/>
      <c r="M59" s="326"/>
    </row>
    <row r="60" spans="3:13" ht="13.8" thickBot="1">
      <c r="C60" s="116" t="s">
        <v>108</v>
      </c>
      <c r="D60" s="223">
        <f>SUM(D56:D59)</f>
        <v>147.45192113500005</v>
      </c>
      <c r="E60" s="224">
        <f>SUM(E56:E59)</f>
        <v>2107.8740200969742</v>
      </c>
      <c r="F60" s="224">
        <f>SUM(F56:F59)</f>
        <v>58.62657920249999</v>
      </c>
      <c r="G60" s="224">
        <f>SUM(G56:G59)</f>
        <v>2449.5428834169447</v>
      </c>
      <c r="H60" s="224">
        <f>SUM(H56:H59)</f>
        <v>4763.4954038514188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41"/>
      <c r="H64" s="123"/>
    </row>
    <row r="65" spans="5:5">
      <c r="E65" s="123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="70" zoomScaleNormal="100" zoomScaleSheetLayoutView="70" workbookViewId="0">
      <selection activeCell="Q44" sqref="Q44:R68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9" t="s">
        <v>60</v>
      </c>
      <c r="D6" s="402" t="s">
        <v>126</v>
      </c>
      <c r="E6" s="403"/>
      <c r="F6" s="390" t="s">
        <v>74</v>
      </c>
      <c r="G6" s="388" t="s">
        <v>127</v>
      </c>
      <c r="H6" s="389"/>
      <c r="I6" s="390" t="s">
        <v>74</v>
      </c>
      <c r="O6" s="47"/>
      <c r="P6" s="86"/>
      <c r="Q6" s="404" t="s">
        <v>116</v>
      </c>
      <c r="R6" s="404"/>
    </row>
    <row r="7" spans="3:19" ht="12.75" customHeight="1">
      <c r="C7" s="110"/>
      <c r="D7" s="111">
        <v>2020</v>
      </c>
      <c r="E7" s="97">
        <v>2021</v>
      </c>
      <c r="F7" s="391"/>
      <c r="G7" s="242">
        <v>2020</v>
      </c>
      <c r="H7" s="97">
        <v>2021</v>
      </c>
      <c r="I7" s="391"/>
      <c r="N7" s="54"/>
      <c r="O7" s="323">
        <v>2020</v>
      </c>
      <c r="P7" s="325">
        <v>2021</v>
      </c>
      <c r="Q7" s="54">
        <v>2020</v>
      </c>
      <c r="R7" s="54">
        <v>2021</v>
      </c>
    </row>
    <row r="8" spans="3:19" ht="20.100000000000001" customHeight="1">
      <c r="C8" s="118" t="s">
        <v>17</v>
      </c>
      <c r="D8" s="366">
        <v>3.2981959073580356</v>
      </c>
      <c r="E8" s="367">
        <v>3.975438</v>
      </c>
      <c r="F8" s="226">
        <f>+E8/D8-1</f>
        <v>0.20533713328886449</v>
      </c>
      <c r="G8" s="357">
        <v>21.596557480966354</v>
      </c>
      <c r="H8" s="358">
        <v>26.001754000000002</v>
      </c>
      <c r="I8" s="226">
        <f>+H8/G8-1</f>
        <v>0.20397679226960452</v>
      </c>
      <c r="J8" s="26"/>
      <c r="K8" s="46"/>
      <c r="L8" s="46"/>
      <c r="N8" s="57" t="s">
        <v>10</v>
      </c>
      <c r="O8" s="71">
        <f>SUM(D8,D13,D20,D21,D27,D29,D31)</f>
        <v>283.18383138894228</v>
      </c>
      <c r="P8" s="71">
        <f t="shared" ref="P8" si="0">SUM(E8,E13,E20,E21,E27,E29,E31)</f>
        <v>335.6776850562859</v>
      </c>
      <c r="Q8" s="71">
        <f>SUM(G8,G13,G20,G21,G27,G29,G31)</f>
        <v>2013.4476854677969</v>
      </c>
      <c r="R8" s="71">
        <f>SUM(H8,H13,H20,H21,H27,H29,H31)</f>
        <v>2237.2383692499616</v>
      </c>
    </row>
    <row r="9" spans="3:19" ht="20.100000000000001" customHeight="1">
      <c r="C9" s="119" t="s">
        <v>18</v>
      </c>
      <c r="D9" s="225">
        <v>98.605157578130914</v>
      </c>
      <c r="E9" s="287">
        <v>104.61284779172382</v>
      </c>
      <c r="F9" s="227">
        <f t="shared" ref="F9:F32" si="1">+E9/D9-1</f>
        <v>6.0926734068982524E-2</v>
      </c>
      <c r="G9" s="243">
        <v>1445.0824868119471</v>
      </c>
      <c r="H9" s="287">
        <v>1488.1194448315666</v>
      </c>
      <c r="I9" s="302">
        <f t="shared" ref="I9:I32" si="2">+H9/G9-1</f>
        <v>2.9781661886004285E-2</v>
      </c>
      <c r="J9" s="26"/>
      <c r="K9" s="46"/>
      <c r="L9" s="46"/>
      <c r="N9" s="57" t="s">
        <v>9</v>
      </c>
      <c r="O9" s="323">
        <f>SUM(D9,D14,D16,D17,D19,D22,D26,D32)</f>
        <v>3576.6813274929209</v>
      </c>
      <c r="P9" s="323">
        <f>SUM(E9,E14,E16,E17,E19,E22,E26,E32)</f>
        <v>3939.0405293731187</v>
      </c>
      <c r="Q9" s="323">
        <f>SUM(G9,G14,G16,G17,G19,G22,G26,G32)</f>
        <v>23067.77333879139</v>
      </c>
      <c r="R9" s="323">
        <f>SUM(H9,H14,H16,H17,H19,H22,H26,H32)</f>
        <v>26499.503145379254</v>
      </c>
    </row>
    <row r="10" spans="3:19" ht="20.100000000000001" customHeight="1">
      <c r="C10" s="120" t="s">
        <v>19</v>
      </c>
      <c r="D10" s="225">
        <v>3.4628360534591511</v>
      </c>
      <c r="E10" s="287">
        <v>4.2972565000000005</v>
      </c>
      <c r="F10" s="227">
        <f t="shared" si="1"/>
        <v>0.24096446775391422</v>
      </c>
      <c r="G10" s="243">
        <v>31.088260175149571</v>
      </c>
      <c r="H10" s="287">
        <v>30.080795500000001</v>
      </c>
      <c r="I10" s="227">
        <f t="shared" si="2"/>
        <v>-3.2406595591826903E-2</v>
      </c>
      <c r="J10" s="26"/>
      <c r="K10" s="46"/>
      <c r="L10" s="46"/>
      <c r="N10" s="54" t="s">
        <v>12</v>
      </c>
      <c r="O10" s="323">
        <f>SUM(D10,D11,D12,D15,D18,D24,D25,D28,D30)</f>
        <v>528.29760647087903</v>
      </c>
      <c r="P10" s="323">
        <f t="shared" ref="P10" si="3">SUM(E10,E11,E12,E15,E18,E24,E25,E28,E30)</f>
        <v>455.80607570534761</v>
      </c>
      <c r="Q10" s="323">
        <f>SUM(G10,G11,G12,G15,G18,G24,G25,G28,G30)</f>
        <v>3998.7623504532339</v>
      </c>
      <c r="R10" s="323">
        <f>SUM(H10,H11,H12,H15,H18,H24,H25,H28,H30)</f>
        <v>4168.1254442828385</v>
      </c>
    </row>
    <row r="11" spans="3:19" ht="20.100000000000001" customHeight="1">
      <c r="C11" s="119" t="s">
        <v>20</v>
      </c>
      <c r="D11" s="354">
        <v>91.007317974532668</v>
      </c>
      <c r="E11" s="318">
        <v>91.219186450864655</v>
      </c>
      <c r="F11" s="351">
        <f t="shared" si="1"/>
        <v>2.3280378001171442E-3</v>
      </c>
      <c r="G11" s="243">
        <v>771.94287011280539</v>
      </c>
      <c r="H11" s="287">
        <v>717.16343445855205</v>
      </c>
      <c r="I11" s="227">
        <f t="shared" si="2"/>
        <v>-7.096306964561816E-2</v>
      </c>
      <c r="J11" s="26"/>
      <c r="K11" s="46"/>
      <c r="L11" s="46"/>
      <c r="N11" s="324" t="s">
        <v>11</v>
      </c>
      <c r="O11" s="71">
        <f>D23</f>
        <v>32.442413957988023</v>
      </c>
      <c r="P11" s="71">
        <f t="shared" ref="P11" si="4">E23</f>
        <v>32.971113716666665</v>
      </c>
      <c r="Q11" s="71">
        <f>G23</f>
        <v>329.76402717938794</v>
      </c>
      <c r="R11" s="71">
        <f>H23</f>
        <v>233.27601228266667</v>
      </c>
    </row>
    <row r="12" spans="3:19" ht="20.100000000000001" customHeight="1">
      <c r="C12" s="119" t="s">
        <v>21</v>
      </c>
      <c r="D12" s="362">
        <v>0.93512694122045603</v>
      </c>
      <c r="E12" s="363">
        <v>0.79155813451574986</v>
      </c>
      <c r="F12" s="227">
        <f t="shared" si="1"/>
        <v>-0.15352868191064106</v>
      </c>
      <c r="G12" s="353">
        <v>6.4586897336121947</v>
      </c>
      <c r="H12" s="318">
        <v>6.1831141345157485</v>
      </c>
      <c r="I12" s="227">
        <f t="shared" si="2"/>
        <v>-4.2667415600148861E-2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9" t="s">
        <v>22</v>
      </c>
      <c r="D13" s="225">
        <v>83.221039238403975</v>
      </c>
      <c r="E13" s="287">
        <v>106.57427885279998</v>
      </c>
      <c r="F13" s="227">
        <f t="shared" si="1"/>
        <v>0.2806170149773759</v>
      </c>
      <c r="G13" s="243">
        <v>751.00112253744362</v>
      </c>
      <c r="H13" s="287">
        <v>889.60804655459992</v>
      </c>
      <c r="I13" s="227">
        <f t="shared" si="2"/>
        <v>0.18456287195528875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9" t="s">
        <v>59</v>
      </c>
      <c r="D14" s="225">
        <v>332.51748546531076</v>
      </c>
      <c r="E14" s="287">
        <v>340.97356771114409</v>
      </c>
      <c r="F14" s="227">
        <f t="shared" si="1"/>
        <v>2.5430488968122278E-2</v>
      </c>
      <c r="G14" s="243">
        <v>1127.4432572571752</v>
      </c>
      <c r="H14" s="287">
        <v>1540.0834171205088</v>
      </c>
      <c r="I14" s="227">
        <f t="shared" si="2"/>
        <v>0.36599638802860679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9" t="s">
        <v>23</v>
      </c>
      <c r="D15" s="225">
        <v>152.89168706666669</v>
      </c>
      <c r="E15" s="287">
        <v>142.14966001330052</v>
      </c>
      <c r="F15" s="227">
        <f t="shared" si="1"/>
        <v>-7.0259065482626504E-2</v>
      </c>
      <c r="G15" s="243">
        <v>1159.9990584666666</v>
      </c>
      <c r="H15" s="287">
        <v>1280.9423146081035</v>
      </c>
      <c r="I15" s="351">
        <f t="shared" si="2"/>
        <v>0.10426151233372938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9" t="s">
        <v>24</v>
      </c>
      <c r="D16" s="225">
        <v>830.76783324283531</v>
      </c>
      <c r="E16" s="287">
        <v>826.6101416495153</v>
      </c>
      <c r="F16" s="227">
        <f t="shared" si="1"/>
        <v>-5.0046371885762442E-3</v>
      </c>
      <c r="G16" s="243">
        <v>6300.4983250549312</v>
      </c>
      <c r="H16" s="287">
        <v>6305.5158698166042</v>
      </c>
      <c r="I16" s="302">
        <f t="shared" si="2"/>
        <v>7.9637268400190031E-4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9" t="s">
        <v>25</v>
      </c>
      <c r="D17" s="225">
        <v>88.217715061333337</v>
      </c>
      <c r="E17" s="287">
        <v>76.193363153135593</v>
      </c>
      <c r="F17" s="227">
        <f t="shared" si="1"/>
        <v>-0.13630314387351583</v>
      </c>
      <c r="G17" s="243">
        <v>1648.8442314613328</v>
      </c>
      <c r="H17" s="287">
        <v>1631.2377930669491</v>
      </c>
      <c r="I17" s="302">
        <f t="shared" si="2"/>
        <v>-1.0678048331333012E-2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9" t="s">
        <v>26</v>
      </c>
      <c r="D18" s="225">
        <v>156.83142706666666</v>
      </c>
      <c r="E18" s="287">
        <v>103.63534220666669</v>
      </c>
      <c r="F18" s="227">
        <f t="shared" si="1"/>
        <v>-0.33919276164838519</v>
      </c>
      <c r="G18" s="243">
        <v>896.84887946666652</v>
      </c>
      <c r="H18" s="287">
        <v>945.74947004416674</v>
      </c>
      <c r="I18" s="227">
        <f t="shared" si="2"/>
        <v>5.4524894546983393E-2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9" t="s">
        <v>27</v>
      </c>
      <c r="D19" s="225">
        <v>182.91383446666669</v>
      </c>
      <c r="E19" s="287">
        <v>210.48946427803313</v>
      </c>
      <c r="F19" s="227">
        <f t="shared" si="1"/>
        <v>0.15075748584993809</v>
      </c>
      <c r="G19" s="243">
        <v>1877.010487266667</v>
      </c>
      <c r="H19" s="287">
        <v>1954.6429897321336</v>
      </c>
      <c r="I19" s="302">
        <f t="shared" si="2"/>
        <v>4.135965301851674E-2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9" t="s">
        <v>28</v>
      </c>
      <c r="D20" s="225">
        <v>63.518726774681518</v>
      </c>
      <c r="E20" s="287">
        <v>83.826020143480591</v>
      </c>
      <c r="F20" s="302">
        <f t="shared" si="1"/>
        <v>0.31970561124177843</v>
      </c>
      <c r="G20" s="243">
        <v>447.1117407908996</v>
      </c>
      <c r="H20" s="287">
        <v>410.36310710532427</v>
      </c>
      <c r="I20" s="227">
        <f t="shared" si="2"/>
        <v>-8.2191162371559212E-2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9" t="s">
        <v>29</v>
      </c>
      <c r="D21" s="354">
        <v>4.6358582666666681</v>
      </c>
      <c r="E21" s="318">
        <v>5.2397868058333348</v>
      </c>
      <c r="F21" s="227">
        <f t="shared" si="1"/>
        <v>0.13027329664263254</v>
      </c>
      <c r="G21" s="243">
        <v>34.592570866666676</v>
      </c>
      <c r="H21" s="287">
        <v>36.402493928333335</v>
      </c>
      <c r="I21" s="227">
        <f t="shared" si="2"/>
        <v>5.2321149204053397E-2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9" t="s">
        <v>30</v>
      </c>
      <c r="D22" s="225">
        <v>1981.4879673453106</v>
      </c>
      <c r="E22" s="287">
        <v>2300.5567020028998</v>
      </c>
      <c r="F22" s="227">
        <f t="shared" si="1"/>
        <v>0.16102481565157323</v>
      </c>
      <c r="G22" s="243">
        <v>10038.310890606002</v>
      </c>
      <c r="H22" s="287">
        <v>12910.376198274824</v>
      </c>
      <c r="I22" s="227">
        <f t="shared" si="2"/>
        <v>0.28611041628094447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9" t="s">
        <v>31</v>
      </c>
      <c r="D23" s="225">
        <v>32.442413957988023</v>
      </c>
      <c r="E23" s="287">
        <v>32.971113716666665</v>
      </c>
      <c r="F23" s="227">
        <f t="shared" si="1"/>
        <v>1.6296560402789151E-2</v>
      </c>
      <c r="G23" s="243">
        <v>329.76402717938794</v>
      </c>
      <c r="H23" s="287">
        <v>233.27601228266667</v>
      </c>
      <c r="I23" s="227">
        <f t="shared" si="2"/>
        <v>-0.2925971511265929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9" t="s">
        <v>32</v>
      </c>
      <c r="D24" s="354">
        <v>8.9790000000000009E-2</v>
      </c>
      <c r="E24" s="318">
        <v>0.11972282416666667</v>
      </c>
      <c r="F24" s="227">
        <f t="shared" si="1"/>
        <v>0.33336478635334288</v>
      </c>
      <c r="G24" s="243">
        <v>4.7585340000000009</v>
      </c>
      <c r="H24" s="287">
        <v>1.1736714091666667</v>
      </c>
      <c r="I24" s="302">
        <f t="shared" si="2"/>
        <v>-0.75335441353016153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9" t="s">
        <v>33</v>
      </c>
      <c r="D25" s="225">
        <v>54.873473333333337</v>
      </c>
      <c r="E25" s="287">
        <v>53.623242511666675</v>
      </c>
      <c r="F25" s="227">
        <f t="shared" si="1"/>
        <v>-2.2783883463545984E-2</v>
      </c>
      <c r="G25" s="243">
        <v>364.13795533333337</v>
      </c>
      <c r="H25" s="287">
        <v>403.17385588166673</v>
      </c>
      <c r="I25" s="227">
        <f t="shared" si="2"/>
        <v>0.10720085609477259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9" t="s">
        <v>34</v>
      </c>
      <c r="D26" s="225">
        <v>60.463296999999997</v>
      </c>
      <c r="E26" s="287">
        <v>59.78238426999998</v>
      </c>
      <c r="F26" s="227">
        <f t="shared" si="1"/>
        <v>-1.1261587835675213E-2</v>
      </c>
      <c r="G26" s="243">
        <v>603.72263199999998</v>
      </c>
      <c r="H26" s="287">
        <v>568.53363811500003</v>
      </c>
      <c r="I26" s="227">
        <f t="shared" si="2"/>
        <v>-5.8286689979513584E-2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9" t="s">
        <v>35</v>
      </c>
      <c r="D27" s="225">
        <v>124.65538620183207</v>
      </c>
      <c r="E27" s="287">
        <v>130.54337675417199</v>
      </c>
      <c r="F27" s="227">
        <f t="shared" si="1"/>
        <v>4.7234144722848592E-2</v>
      </c>
      <c r="G27" s="243">
        <v>720.68885079182076</v>
      </c>
      <c r="H27" s="287">
        <v>836.23147616170388</v>
      </c>
      <c r="I27" s="227">
        <f t="shared" si="2"/>
        <v>0.1603224820849336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9" t="s">
        <v>36</v>
      </c>
      <c r="D28" s="225">
        <v>54.687726034999997</v>
      </c>
      <c r="E28" s="287">
        <v>47.187122586666668</v>
      </c>
      <c r="F28" s="227">
        <f t="shared" si="1"/>
        <v>-0.13715332474297726</v>
      </c>
      <c r="G28" s="243">
        <v>672.989133165</v>
      </c>
      <c r="H28" s="287">
        <v>693.22207598666682</v>
      </c>
      <c r="I28" s="227">
        <f t="shared" si="2"/>
        <v>3.0064293499827199E-2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9" t="s">
        <v>37</v>
      </c>
      <c r="D29" s="225">
        <v>2.7540770000000001</v>
      </c>
      <c r="E29" s="287">
        <v>4.4182364999999999</v>
      </c>
      <c r="F29" s="227">
        <f t="shared" si="1"/>
        <v>0.60425307643903925</v>
      </c>
      <c r="G29" s="243">
        <v>30.753007</v>
      </c>
      <c r="H29" s="287">
        <v>30.927655499999997</v>
      </c>
      <c r="I29" s="302">
        <f t="shared" si="2"/>
        <v>5.6790706677884994E-3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9" t="s">
        <v>38</v>
      </c>
      <c r="D30" s="225">
        <v>13.518222</v>
      </c>
      <c r="E30" s="287">
        <v>12.782984477500001</v>
      </c>
      <c r="F30" s="227">
        <f t="shared" si="1"/>
        <v>-5.438862614476947E-2</v>
      </c>
      <c r="G30" s="243">
        <v>90.538969999999992</v>
      </c>
      <c r="H30" s="287">
        <v>90.436712260000007</v>
      </c>
      <c r="I30" s="227">
        <f t="shared" si="2"/>
        <v>-1.1294334362317304E-3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9" t="s">
        <v>39</v>
      </c>
      <c r="D31" s="354">
        <v>1.1005480000000003</v>
      </c>
      <c r="E31" s="318">
        <v>1.1005480000000003</v>
      </c>
      <c r="F31" s="302">
        <f>+E31/D31-1</f>
        <v>0</v>
      </c>
      <c r="G31" s="243">
        <v>7.7038360000000026</v>
      </c>
      <c r="H31" s="287">
        <v>7.7038360000000026</v>
      </c>
      <c r="I31" s="227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1" t="s">
        <v>40</v>
      </c>
      <c r="D32" s="219">
        <v>1.7080373333333332</v>
      </c>
      <c r="E32" s="288">
        <v>19.822058516666665</v>
      </c>
      <c r="F32" s="228">
        <f t="shared" si="1"/>
        <v>10.605167012352579</v>
      </c>
      <c r="G32" s="244">
        <v>26.86102833333333</v>
      </c>
      <c r="H32" s="288">
        <v>100.99379442166665</v>
      </c>
      <c r="I32" s="228">
        <f t="shared" si="2"/>
        <v>2.7598632922157296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6" t="s">
        <v>108</v>
      </c>
      <c r="D33" s="112">
        <f>SUM(D8:D32)</f>
        <v>4420.6051793107308</v>
      </c>
      <c r="E33" s="289">
        <f>SUM(E8:E32)</f>
        <v>4763.4954038514188</v>
      </c>
      <c r="F33" s="117">
        <f>+E33/D33-1</f>
        <v>7.7566353617255723E-2</v>
      </c>
      <c r="G33" s="245">
        <f>SUM(G8:G32)</f>
        <v>29409.747401891804</v>
      </c>
      <c r="H33" s="289">
        <f>SUM(H8:H32)</f>
        <v>33138.142971194728</v>
      </c>
      <c r="I33" s="246">
        <f>+H33/G33-1</f>
        <v>0.12677414458388347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5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2300.5567020028998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826.6101416495153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340.97356771114409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210.48946427803313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142.14966001330052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130.54337675417199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22</v>
      </c>
      <c r="O50" s="52">
        <v>106.57427885279998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18</v>
      </c>
      <c r="O51" s="53">
        <v>104.61284779172382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26</v>
      </c>
      <c r="O52" s="53">
        <v>103.63534220666669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91.219186450864655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83.826020143480591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25</v>
      </c>
      <c r="O55" s="52">
        <v>76.193363153135593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59.78238426999998</v>
      </c>
      <c r="P56" s="8"/>
      <c r="S56" s="91"/>
    </row>
    <row r="57" spans="3:19">
      <c r="N57" s="51" t="s">
        <v>33</v>
      </c>
      <c r="O57" s="52">
        <v>53.623242511666675</v>
      </c>
      <c r="S57" s="91"/>
    </row>
    <row r="58" spans="3:19">
      <c r="N58" s="51" t="s">
        <v>36</v>
      </c>
      <c r="O58" s="52">
        <v>47.187122586666668</v>
      </c>
      <c r="S58" s="122"/>
    </row>
    <row r="59" spans="3:19">
      <c r="N59" s="51" t="s">
        <v>31</v>
      </c>
      <c r="O59" s="52">
        <v>32.971113716666665</v>
      </c>
      <c r="S59" s="91"/>
    </row>
    <row r="60" spans="3:19">
      <c r="N60" s="51" t="s">
        <v>40</v>
      </c>
      <c r="O60" s="52">
        <v>19.822058516666665</v>
      </c>
      <c r="S60" s="91"/>
    </row>
    <row r="61" spans="3:19">
      <c r="N61" s="51" t="s">
        <v>38</v>
      </c>
      <c r="O61" s="52">
        <v>12.782984477500001</v>
      </c>
      <c r="S61" s="91"/>
    </row>
    <row r="62" spans="3:19">
      <c r="N62" s="51" t="s">
        <v>29</v>
      </c>
      <c r="O62" s="52">
        <v>5.2397868058333348</v>
      </c>
      <c r="S62" s="91"/>
    </row>
    <row r="63" spans="3:19">
      <c r="N63" s="50" t="s">
        <v>37</v>
      </c>
      <c r="O63" s="53">
        <v>4.4182364999999999</v>
      </c>
      <c r="S63" s="91"/>
    </row>
    <row r="64" spans="3:19">
      <c r="N64" s="50" t="s">
        <v>19</v>
      </c>
      <c r="O64" s="53">
        <v>4.2972565000000005</v>
      </c>
      <c r="S64" s="91"/>
    </row>
    <row r="65" spans="6:19">
      <c r="N65" s="50" t="s">
        <v>17</v>
      </c>
      <c r="O65" s="53">
        <v>3.975438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0.79155813451574986</v>
      </c>
      <c r="S67" s="91"/>
    </row>
    <row r="68" spans="6:19">
      <c r="N68" s="9" t="s">
        <v>32</v>
      </c>
      <c r="O68" s="52">
        <v>0.11972282416666667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2021-08-25T19:34:05Z</dcterms:modified>
</cp:coreProperties>
</file>